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STAFF\dingwell\Weiss Family Program Fund\"/>
    </mc:Choice>
  </mc:AlternateContent>
  <bookViews>
    <workbookView xWindow="0" yWindow="0" windowWidth="23040" windowHeight="9408" tabRatio="542" firstSheet="1" activeTab="1"/>
  </bookViews>
  <sheets>
    <sheet name="Proposal Approval Sheet" sheetId="12" state="hidden" r:id="rId1"/>
    <sheet name="Summary (USD)" sheetId="22" r:id="rId2"/>
    <sheet name="Donor Budget Format" sheetId="24" state="hidden" r:id="rId3"/>
    <sheet name="Detailed Budget" sheetId="2" r:id="rId4"/>
    <sheet name="Assumptions" sheetId="26" r:id="rId5"/>
    <sheet name="Range Page" sheetId="3" r:id="rId6"/>
  </sheets>
  <externalReferences>
    <externalReference r:id="rId7"/>
    <externalReference r:id="rId8"/>
    <externalReference r:id="rId9"/>
    <externalReference r:id="rId10"/>
  </externalReferences>
  <definedNames>
    <definedName name="a">'Range Page'!$A$18</definedName>
    <definedName name="Admin">'[1]Range Page'!$A$21</definedName>
    <definedName name="adminfee">'Range Page'!#REF!</definedName>
    <definedName name="as">'Range Page'!$A$20</definedName>
    <definedName name="b">'[2]Range Page'!$A$8</definedName>
    <definedName name="BillingSchedule">#REF!</definedName>
    <definedName name="dangerpay">'Range Page'!#REF!</definedName>
    <definedName name="DollarLC">'Range Page'!$A$9</definedName>
    <definedName name="eduallowance.expat1">'Range Page'!#REF!</definedName>
    <definedName name="eduallowance.expat2">'Range Page'!#REF!</definedName>
    <definedName name="eduallowance.expat3">'Range Page'!#REF!</definedName>
    <definedName name="eduallowance.expat4">'Range Page'!#REF!</definedName>
    <definedName name="ForeignTransferAllowance">'Range Page'!#REF!</definedName>
    <definedName name="GandA">'Range Page'!$A$3</definedName>
    <definedName name="inf">'[3]Range Page'!$A$10</definedName>
    <definedName name="intlfringe">'Range Page'!$A$4</definedName>
    <definedName name="ITSupport">'Range Page'!#REF!</definedName>
    <definedName name="LocalCurrency">'Range Page'!$A$8</definedName>
    <definedName name="localfringe">'Range Page'!$A$5</definedName>
    <definedName name="localinflation_yr2">'Range Page'!$A$17</definedName>
    <definedName name="localinflation_yr3">'Range Page'!$A$18</definedName>
    <definedName name="localinflation_yr4">'Range Page'!$A$19</definedName>
    <definedName name="localinflation_yr5">'Range Page'!$A$20</definedName>
    <definedName name="localperdiem">'Range Page'!#REF!</definedName>
    <definedName name="match_requirement">'Range Page'!#REF!</definedName>
    <definedName name="Medevac.expat1">'Range Page'!#REF!</definedName>
    <definedName name="Medevac.expat2">'Range Page'!#REF!</definedName>
    <definedName name="Medevac.expat3">'Range Page'!#REF!</definedName>
    <definedName name="Medevac.STTA.day">'Range Page'!#REF!</definedName>
    <definedName name="Medevac.STTA.month">'Range Page'!#REF!</definedName>
    <definedName name="NBERversion">'[4]Range Page'!$A$10</definedName>
    <definedName name="NewOH">'Range Page'!$A$2</definedName>
    <definedName name="OH">'[1]Country Budget x 6'!$E$503</definedName>
    <definedName name="OH_Rate">'Detailed Budget'!#REF!</definedName>
    <definedName name="Over_Head">'[1]Range Page'!$A$19</definedName>
    <definedName name="overhead">'Range Page'!#REF!</definedName>
    <definedName name="perdiem">'Range Page'!#REF!</definedName>
    <definedName name="postallowance">'Range Page'!#REF!</definedName>
    <definedName name="postallowance.expat2">'Range Page'!#REF!</definedName>
    <definedName name="postallowance.expat3">'Range Page'!#REF!</definedName>
    <definedName name="postallowance.expat4">'Range Page'!#REF!</definedName>
    <definedName name="postdifferential">'Range Page'!#REF!</definedName>
    <definedName name="_xlnm.Print_Area" localSheetId="3">'Detailed Budget'!$A$1:$AE$206</definedName>
    <definedName name="_xlnm.Print_Area" localSheetId="5">'Range Page'!$A$1:$B$20</definedName>
    <definedName name="_xlnm.Print_Titles" localSheetId="3">'Detailed Budget'!$1:$9</definedName>
    <definedName name="Procure">'[1]Range Page'!$A$20</definedName>
    <definedName name="procurementfee">'Range Page'!#REF!</definedName>
    <definedName name="PSA">'Range Page'!#REF!</definedName>
    <definedName name="RealGandA">'Range Page'!#REF!</definedName>
    <definedName name="usinflation_yr2">'Range Page'!$A$12</definedName>
    <definedName name="usinflation_yr3">'Range Page'!$A$13</definedName>
    <definedName name="usinflation_yr4">'Range Page'!$A$14</definedName>
    <definedName name="usinflation_yr5">'Range Page'!$A$15</definedName>
    <definedName name="workerscomp.expat">'Range Page'!#REF!</definedName>
    <definedName name="workerscomp.STTA">'Range Page'!#REF!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9" i="2" l="1"/>
  <c r="F20" i="2"/>
  <c r="A11" i="22"/>
  <c r="F47" i="2"/>
  <c r="E48" i="2"/>
  <c r="F48" i="2"/>
  <c r="E49" i="2"/>
  <c r="F49" i="2"/>
  <c r="F50" i="2"/>
  <c r="F51" i="2"/>
  <c r="E52" i="2"/>
  <c r="F52" i="2"/>
  <c r="E53" i="2"/>
  <c r="F53" i="2"/>
  <c r="F54" i="2"/>
  <c r="F55" i="2"/>
  <c r="F56" i="2"/>
  <c r="F57" i="2"/>
  <c r="F58" i="2"/>
  <c r="F59" i="2"/>
  <c r="F60" i="2"/>
  <c r="F61" i="2"/>
  <c r="E62" i="2"/>
  <c r="F62" i="2"/>
  <c r="E63" i="2"/>
  <c r="F63" i="2"/>
  <c r="F64" i="2"/>
  <c r="E65" i="2"/>
  <c r="F65" i="2"/>
  <c r="E66" i="2"/>
  <c r="F66" i="2"/>
  <c r="E67" i="2"/>
  <c r="F67" i="2"/>
  <c r="F68" i="2"/>
  <c r="F69" i="2"/>
  <c r="F70" i="2"/>
  <c r="B13" i="22"/>
  <c r="F73" i="2"/>
  <c r="F74" i="2"/>
  <c r="B15" i="22"/>
  <c r="F78" i="2"/>
  <c r="F79" i="2"/>
  <c r="F80" i="2"/>
  <c r="B17" i="22"/>
  <c r="F84" i="2"/>
  <c r="F85" i="2"/>
  <c r="B19" i="22"/>
  <c r="E89" i="2"/>
  <c r="D89" i="2"/>
  <c r="F89" i="2"/>
  <c r="F90" i="2"/>
  <c r="E91" i="2"/>
  <c r="F91" i="2"/>
  <c r="F92" i="2"/>
  <c r="E93" i="2"/>
  <c r="D93" i="2"/>
  <c r="F93" i="2"/>
  <c r="F94" i="2"/>
  <c r="E95" i="2"/>
  <c r="F95" i="2"/>
  <c r="F96" i="2"/>
  <c r="F97" i="2"/>
  <c r="F98" i="2"/>
  <c r="F99" i="2"/>
  <c r="F100" i="2"/>
  <c r="F101" i="2"/>
  <c r="F102" i="2"/>
  <c r="F103" i="2"/>
  <c r="E104" i="2"/>
  <c r="D104" i="2"/>
  <c r="F104" i="2"/>
  <c r="F105" i="2"/>
  <c r="E106" i="2"/>
  <c r="F106" i="2"/>
  <c r="F107" i="2"/>
  <c r="E108" i="2"/>
  <c r="D108" i="2"/>
  <c r="F108" i="2"/>
  <c r="F109" i="2"/>
  <c r="E110" i="2"/>
  <c r="F110" i="2"/>
  <c r="F111" i="2"/>
  <c r="F112" i="2"/>
  <c r="F113" i="2"/>
  <c r="F114" i="2"/>
  <c r="F115" i="2"/>
  <c r="F116" i="2"/>
  <c r="F117" i="2"/>
  <c r="F118" i="2"/>
  <c r="F119" i="2"/>
  <c r="F120" i="2"/>
  <c r="E121" i="2"/>
  <c r="D121" i="2"/>
  <c r="F121" i="2"/>
  <c r="F122" i="2"/>
  <c r="E123" i="2"/>
  <c r="F123" i="2"/>
  <c r="F124" i="2"/>
  <c r="E125" i="2"/>
  <c r="D125" i="2"/>
  <c r="F125" i="2"/>
  <c r="F126" i="2"/>
  <c r="E127" i="2"/>
  <c r="F127" i="2"/>
  <c r="F128" i="2"/>
  <c r="D129" i="2"/>
  <c r="F129" i="2"/>
  <c r="F130" i="2"/>
  <c r="F131" i="2"/>
  <c r="F132" i="2"/>
  <c r="F133" i="2"/>
  <c r="F134" i="2"/>
  <c r="F135" i="2"/>
  <c r="F136" i="2"/>
  <c r="E137" i="2"/>
  <c r="F137" i="2"/>
  <c r="F138" i="2"/>
  <c r="E139" i="2"/>
  <c r="D139" i="2"/>
  <c r="F139" i="2"/>
  <c r="F140" i="2"/>
  <c r="E141" i="2"/>
  <c r="F141" i="2"/>
  <c r="F142" i="2"/>
  <c r="F143" i="2"/>
  <c r="F144" i="2"/>
  <c r="F145" i="2"/>
  <c r="E146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E159" i="2"/>
  <c r="F159" i="2"/>
  <c r="E161" i="2"/>
  <c r="F161" i="2"/>
  <c r="F162" i="2"/>
  <c r="F163" i="2"/>
  <c r="F165" i="2"/>
  <c r="F166" i="2"/>
  <c r="F167" i="2"/>
  <c r="F168" i="2"/>
  <c r="F169" i="2"/>
  <c r="F170" i="2"/>
  <c r="F171" i="2"/>
  <c r="F172" i="2"/>
  <c r="F173" i="2"/>
  <c r="F174" i="2"/>
  <c r="B21" i="22"/>
  <c r="E177" i="2"/>
  <c r="D177" i="2"/>
  <c r="F177" i="2"/>
  <c r="E178" i="2"/>
  <c r="D178" i="2"/>
  <c r="F178" i="2"/>
  <c r="E179" i="2"/>
  <c r="D179" i="2"/>
  <c r="F179" i="2"/>
  <c r="E180" i="2"/>
  <c r="F180" i="2"/>
  <c r="E181" i="2"/>
  <c r="F181" i="2"/>
  <c r="F182" i="2"/>
  <c r="F183" i="2"/>
  <c r="F184" i="2"/>
  <c r="B23" i="22"/>
  <c r="E189" i="2"/>
  <c r="F189" i="2"/>
  <c r="E190" i="2"/>
  <c r="F190" i="2"/>
  <c r="E191" i="2"/>
  <c r="F191" i="2"/>
  <c r="E192" i="2"/>
  <c r="F192" i="2"/>
  <c r="E193" i="2"/>
  <c r="F193" i="2"/>
  <c r="F194" i="2"/>
  <c r="F195" i="2"/>
  <c r="F196" i="2"/>
  <c r="B25" i="22"/>
  <c r="G189" i="2"/>
  <c r="H189" i="2"/>
  <c r="G190" i="2"/>
  <c r="H190" i="2"/>
  <c r="G191" i="2"/>
  <c r="H191" i="2"/>
  <c r="G192" i="2"/>
  <c r="H192" i="2"/>
  <c r="G193" i="2"/>
  <c r="H193" i="2"/>
  <c r="H194" i="2"/>
  <c r="H195" i="2"/>
  <c r="H196" i="2"/>
  <c r="C25" i="22"/>
  <c r="G177" i="2"/>
  <c r="H177" i="2"/>
  <c r="G178" i="2"/>
  <c r="H178" i="2"/>
  <c r="G179" i="2"/>
  <c r="H179" i="2"/>
  <c r="G180" i="2"/>
  <c r="H180" i="2"/>
  <c r="G181" i="2"/>
  <c r="H181" i="2"/>
  <c r="H182" i="2"/>
  <c r="H184" i="2"/>
  <c r="C23" i="22"/>
  <c r="G89" i="2"/>
  <c r="H89" i="2"/>
  <c r="H90" i="2"/>
  <c r="G91" i="2"/>
  <c r="H91" i="2"/>
  <c r="H92" i="2"/>
  <c r="G93" i="2"/>
  <c r="H93" i="2"/>
  <c r="H94" i="2"/>
  <c r="G95" i="2"/>
  <c r="H95" i="2"/>
  <c r="H96" i="2"/>
  <c r="H97" i="2"/>
  <c r="H98" i="2"/>
  <c r="H99" i="2"/>
  <c r="H100" i="2"/>
  <c r="H101" i="2"/>
  <c r="H102" i="2"/>
  <c r="H103" i="2"/>
  <c r="G104" i="2"/>
  <c r="H104" i="2"/>
  <c r="H105" i="2"/>
  <c r="G106" i="2"/>
  <c r="H106" i="2"/>
  <c r="H107" i="2"/>
  <c r="G108" i="2"/>
  <c r="H108" i="2"/>
  <c r="H109" i="2"/>
  <c r="G110" i="2"/>
  <c r="H110" i="2"/>
  <c r="H111" i="2"/>
  <c r="H112" i="2"/>
  <c r="H113" i="2"/>
  <c r="H114" i="2"/>
  <c r="H115" i="2"/>
  <c r="H116" i="2"/>
  <c r="H117" i="2"/>
  <c r="H118" i="2"/>
  <c r="H119" i="2"/>
  <c r="H120" i="2"/>
  <c r="G121" i="2"/>
  <c r="H121" i="2"/>
  <c r="H122" i="2"/>
  <c r="G123" i="2"/>
  <c r="H123" i="2"/>
  <c r="H124" i="2"/>
  <c r="G125" i="2"/>
  <c r="H125" i="2"/>
  <c r="H126" i="2"/>
  <c r="G127" i="2"/>
  <c r="H127" i="2"/>
  <c r="H128" i="2"/>
  <c r="H129" i="2"/>
  <c r="H130" i="2"/>
  <c r="H131" i="2"/>
  <c r="H132" i="2"/>
  <c r="H133" i="2"/>
  <c r="H134" i="2"/>
  <c r="H135" i="2"/>
  <c r="H136" i="2"/>
  <c r="G137" i="2"/>
  <c r="H137" i="2"/>
  <c r="H138" i="2"/>
  <c r="G139" i="2"/>
  <c r="H139" i="2"/>
  <c r="H140" i="2"/>
  <c r="G141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G159" i="2"/>
  <c r="H159" i="2"/>
  <c r="G161" i="2"/>
  <c r="H161" i="2"/>
  <c r="H162" i="2"/>
  <c r="H163" i="2"/>
  <c r="H165" i="2"/>
  <c r="H166" i="2"/>
  <c r="H167" i="2"/>
  <c r="H168" i="2"/>
  <c r="H169" i="2"/>
  <c r="H170" i="2"/>
  <c r="H171" i="2"/>
  <c r="H172" i="2"/>
  <c r="H173" i="2"/>
  <c r="H174" i="2"/>
  <c r="C21" i="22"/>
  <c r="H78" i="2"/>
  <c r="H79" i="2"/>
  <c r="H80" i="2"/>
  <c r="C19" i="22"/>
  <c r="C17" i="22"/>
  <c r="H73" i="2"/>
  <c r="H74" i="2"/>
  <c r="C15" i="22"/>
  <c r="H47" i="2"/>
  <c r="H48" i="2"/>
  <c r="H49" i="2"/>
  <c r="H50" i="2"/>
  <c r="H51" i="2"/>
  <c r="G52" i="2"/>
  <c r="H52" i="2"/>
  <c r="G53" i="2"/>
  <c r="H53" i="2"/>
  <c r="H54" i="2"/>
  <c r="H55" i="2"/>
  <c r="H56" i="2"/>
  <c r="H57" i="2"/>
  <c r="H58" i="2"/>
  <c r="H59" i="2"/>
  <c r="G60" i="2"/>
  <c r="H60" i="2"/>
  <c r="G61" i="2"/>
  <c r="H61" i="2"/>
  <c r="G62" i="2"/>
  <c r="H62" i="2"/>
  <c r="G24" i="2"/>
  <c r="G63" i="2"/>
  <c r="H63" i="2"/>
  <c r="H64" i="2"/>
  <c r="G65" i="2"/>
  <c r="H65" i="2"/>
  <c r="G66" i="2"/>
  <c r="H66" i="2"/>
  <c r="G67" i="2"/>
  <c r="H67" i="2"/>
  <c r="H68" i="2"/>
  <c r="H69" i="2"/>
  <c r="H70" i="2"/>
  <c r="C13" i="22"/>
  <c r="H19" i="2"/>
  <c r="H20" i="2"/>
  <c r="G21" i="2"/>
  <c r="H21" i="2"/>
  <c r="G22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9" i="2"/>
  <c r="H42" i="2"/>
  <c r="H43" i="2"/>
  <c r="C11" i="22"/>
  <c r="C9" i="22"/>
  <c r="F19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9" i="2"/>
  <c r="B9" i="22"/>
  <c r="F11" i="2"/>
  <c r="F12" i="2"/>
  <c r="F13" i="2"/>
  <c r="F14" i="2"/>
  <c r="F15" i="2"/>
  <c r="B7" i="22"/>
  <c r="F42" i="2"/>
  <c r="F43" i="2"/>
  <c r="B11" i="22"/>
  <c r="H11" i="2"/>
  <c r="H12" i="2"/>
  <c r="H13" i="2"/>
  <c r="H14" i="2"/>
  <c r="H15" i="2"/>
  <c r="C7" i="22"/>
  <c r="O11" i="2"/>
  <c r="M11" i="2"/>
  <c r="J11" i="2"/>
  <c r="Q11" i="2"/>
  <c r="R11" i="2"/>
  <c r="F205" i="2"/>
  <c r="O205" i="2"/>
  <c r="M205" i="2"/>
  <c r="J205" i="2"/>
  <c r="H205" i="2"/>
  <c r="Q205" i="2"/>
  <c r="R205" i="2"/>
  <c r="O192" i="2"/>
  <c r="M192" i="2"/>
  <c r="J192" i="2"/>
  <c r="Q192" i="2"/>
  <c r="R192" i="2"/>
  <c r="O189" i="2"/>
  <c r="M189" i="2"/>
  <c r="J189" i="2"/>
  <c r="Q189" i="2"/>
  <c r="R189" i="2"/>
  <c r="O190" i="2"/>
  <c r="M190" i="2"/>
  <c r="J190" i="2"/>
  <c r="Q190" i="2"/>
  <c r="R190" i="2"/>
  <c r="O191" i="2"/>
  <c r="M191" i="2"/>
  <c r="J191" i="2"/>
  <c r="Q191" i="2"/>
  <c r="R191" i="2"/>
  <c r="O193" i="2"/>
  <c r="M193" i="2"/>
  <c r="J193" i="2"/>
  <c r="Q193" i="2"/>
  <c r="R193" i="2"/>
  <c r="O194" i="2"/>
  <c r="M194" i="2"/>
  <c r="J194" i="2"/>
  <c r="Q194" i="2"/>
  <c r="R194" i="2"/>
  <c r="O195" i="2"/>
  <c r="M195" i="2"/>
  <c r="J195" i="2"/>
  <c r="Q195" i="2"/>
  <c r="R195" i="2"/>
  <c r="R196" i="2"/>
  <c r="D2" i="2"/>
  <c r="B33" i="22"/>
  <c r="C33" i="22"/>
  <c r="D33" i="22"/>
  <c r="D7" i="22"/>
  <c r="D9" i="22"/>
  <c r="D11" i="22"/>
  <c r="D13" i="22"/>
  <c r="D15" i="22"/>
  <c r="D17" i="22"/>
  <c r="D19" i="22"/>
  <c r="D21" i="22"/>
  <c r="D23" i="22"/>
  <c r="D25" i="22"/>
  <c r="D27" i="22"/>
  <c r="D36" i="22"/>
  <c r="C27" i="22"/>
  <c r="C36" i="22"/>
  <c r="B27" i="22"/>
  <c r="B36" i="22"/>
  <c r="K190" i="2"/>
  <c r="P190" i="2"/>
  <c r="S190" i="2"/>
  <c r="T190" i="2"/>
  <c r="D28" i="26"/>
  <c r="B80" i="26"/>
  <c r="D94" i="26"/>
  <c r="D29" i="26"/>
  <c r="D80" i="26"/>
  <c r="B30" i="26"/>
  <c r="D31" i="26"/>
  <c r="B81" i="26"/>
  <c r="D95" i="26"/>
  <c r="D32" i="26"/>
  <c r="D81" i="26"/>
  <c r="D19" i="26"/>
  <c r="B82" i="26"/>
  <c r="D20" i="26"/>
  <c r="D82" i="26"/>
  <c r="B21" i="26"/>
  <c r="D22" i="26"/>
  <c r="B83" i="26"/>
  <c r="D23" i="26"/>
  <c r="D83" i="26"/>
  <c r="B37" i="26"/>
  <c r="B39" i="26"/>
  <c r="B40" i="26"/>
  <c r="B84" i="26"/>
  <c r="D39" i="26"/>
  <c r="D40" i="26"/>
  <c r="D84" i="26"/>
  <c r="B45" i="26"/>
  <c r="B46" i="26"/>
  <c r="B85" i="26"/>
  <c r="D46" i="26"/>
  <c r="D85" i="26"/>
  <c r="B86" i="26"/>
  <c r="D86" i="26"/>
  <c r="B87" i="26"/>
  <c r="D87" i="26"/>
  <c r="B50" i="26"/>
  <c r="B88" i="26"/>
  <c r="D50" i="26"/>
  <c r="D88" i="26"/>
  <c r="B69" i="26"/>
  <c r="F7" i="26"/>
  <c r="F5" i="26"/>
  <c r="F6" i="26"/>
  <c r="F8" i="26"/>
  <c r="G7" i="26"/>
  <c r="G3" i="26"/>
  <c r="G4" i="26"/>
  <c r="G6" i="26"/>
  <c r="G8" i="26"/>
  <c r="B13" i="26"/>
  <c r="H7" i="26"/>
  <c r="H4" i="26"/>
  <c r="H6" i="26"/>
  <c r="H8" i="26"/>
  <c r="I7" i="26"/>
  <c r="I4" i="26"/>
  <c r="I5" i="26"/>
  <c r="I6" i="26"/>
  <c r="I8" i="26"/>
  <c r="J5" i="26"/>
  <c r="J6" i="26"/>
  <c r="J7" i="26"/>
  <c r="J8" i="26"/>
  <c r="F9" i="26"/>
  <c r="G41" i="26"/>
  <c r="B7" i="26"/>
  <c r="D199" i="2"/>
  <c r="D200" i="2"/>
  <c r="R142" i="2"/>
  <c r="P128" i="2"/>
  <c r="P129" i="2"/>
  <c r="P130" i="2"/>
  <c r="P131" i="2"/>
  <c r="P132" i="2"/>
  <c r="P133" i="2"/>
  <c r="P134" i="2"/>
  <c r="P135" i="2"/>
  <c r="P136" i="2"/>
  <c r="P138" i="2"/>
  <c r="P140" i="2"/>
  <c r="P142" i="2"/>
  <c r="P137" i="2"/>
  <c r="Q38" i="2"/>
  <c r="R38" i="2"/>
  <c r="P38" i="2"/>
  <c r="G29" i="26"/>
  <c r="Q140" i="2"/>
  <c r="R140" i="2"/>
  <c r="Q138" i="2"/>
  <c r="R138" i="2"/>
  <c r="D97" i="26"/>
  <c r="D96" i="26"/>
  <c r="G18" i="26"/>
  <c r="B54" i="26"/>
  <c r="B56" i="26"/>
  <c r="B57" i="26"/>
  <c r="D57" i="26"/>
  <c r="B63" i="26"/>
  <c r="B64" i="26"/>
  <c r="B76" i="26"/>
  <c r="B77" i="26"/>
  <c r="D77" i="26"/>
  <c r="D64" i="26"/>
  <c r="T84" i="2"/>
  <c r="A15" i="3"/>
  <c r="O127" i="2"/>
  <c r="O161" i="2"/>
  <c r="O60" i="2"/>
  <c r="O69" i="2"/>
  <c r="A20" i="3"/>
  <c r="O24" i="2"/>
  <c r="A14" i="3"/>
  <c r="M90" i="2"/>
  <c r="M97" i="2"/>
  <c r="M102" i="2"/>
  <c r="M103" i="2"/>
  <c r="M110" i="2"/>
  <c r="M116" i="2"/>
  <c r="M122" i="2"/>
  <c r="M128" i="2"/>
  <c r="M135" i="2"/>
  <c r="M146" i="2"/>
  <c r="M151" i="2"/>
  <c r="M157" i="2"/>
  <c r="M163" i="2"/>
  <c r="M169" i="2"/>
  <c r="M53" i="2"/>
  <c r="M52" i="2"/>
  <c r="M61" i="2"/>
  <c r="M67" i="2"/>
  <c r="M68" i="2"/>
  <c r="M79" i="2"/>
  <c r="A13" i="3"/>
  <c r="J97" i="2"/>
  <c r="J105" i="2"/>
  <c r="J112" i="2"/>
  <c r="J119" i="2"/>
  <c r="J130" i="2"/>
  <c r="J143" i="2"/>
  <c r="J149" i="2"/>
  <c r="J157" i="2"/>
  <c r="J166" i="2"/>
  <c r="J173" i="2"/>
  <c r="J54" i="2"/>
  <c r="J63" i="2"/>
  <c r="P153" i="2"/>
  <c r="H84" i="2"/>
  <c r="P25" i="2"/>
  <c r="P26" i="2"/>
  <c r="P27" i="2"/>
  <c r="P28" i="2"/>
  <c r="P29" i="2"/>
  <c r="P30" i="2"/>
  <c r="P31" i="2"/>
  <c r="P32" i="2"/>
  <c r="AP35" i="2"/>
  <c r="S34" i="2"/>
  <c r="P21" i="2"/>
  <c r="O109" i="2"/>
  <c r="M91" i="2"/>
  <c r="J92" i="2"/>
  <c r="P56" i="2"/>
  <c r="P57" i="2"/>
  <c r="P58" i="2"/>
  <c r="S25" i="2"/>
  <c r="A18" i="3"/>
  <c r="A19" i="3"/>
  <c r="P177" i="2"/>
  <c r="Q176" i="2"/>
  <c r="S24" i="2"/>
  <c r="S21" i="2"/>
  <c r="S26" i="2"/>
  <c r="P194" i="2"/>
  <c r="P195" i="2"/>
  <c r="P151" i="2"/>
  <c r="P156" i="2"/>
  <c r="P158" i="2"/>
  <c r="P120" i="2"/>
  <c r="P124" i="2"/>
  <c r="P92" i="2"/>
  <c r="P96" i="2"/>
  <c r="P99" i="2"/>
  <c r="P100" i="2"/>
  <c r="D42" i="2"/>
  <c r="F9" i="24"/>
  <c r="F8" i="24"/>
  <c r="A36" i="22"/>
  <c r="A33" i="22"/>
  <c r="A31" i="22"/>
  <c r="A29" i="22"/>
  <c r="A27" i="22"/>
  <c r="A25" i="22"/>
  <c r="A23" i="22"/>
  <c r="A21" i="22"/>
  <c r="A19" i="22"/>
  <c r="A17" i="22"/>
  <c r="A15" i="22"/>
  <c r="A13" i="22"/>
  <c r="A9" i="22"/>
  <c r="A7" i="22"/>
  <c r="A3" i="22"/>
  <c r="P143" i="2"/>
  <c r="P173" i="2"/>
  <c r="P172" i="2"/>
  <c r="P171" i="2"/>
  <c r="P170" i="2"/>
  <c r="P169" i="2"/>
  <c r="P168" i="2"/>
  <c r="P167" i="2"/>
  <c r="P166" i="2"/>
  <c r="P165" i="2"/>
  <c r="P163" i="2"/>
  <c r="P162" i="2"/>
  <c r="P150" i="2"/>
  <c r="P149" i="2"/>
  <c r="P103" i="2"/>
  <c r="P68" i="2"/>
  <c r="P64" i="2"/>
  <c r="P59" i="2"/>
  <c r="P54" i="2"/>
  <c r="P50" i="2"/>
  <c r="S73" i="2"/>
  <c r="S68" i="2"/>
  <c r="S12" i="2"/>
  <c r="S13" i="2"/>
  <c r="S14" i="2"/>
  <c r="P19" i="2"/>
  <c r="T88" i="2"/>
  <c r="T87" i="2"/>
  <c r="T86" i="2"/>
  <c r="T83" i="2"/>
  <c r="T82" i="2"/>
  <c r="S79" i="2"/>
  <c r="S32" i="2"/>
  <c r="S31" i="2"/>
  <c r="S30" i="2"/>
  <c r="T30" i="2"/>
  <c r="S28" i="2"/>
  <c r="S27" i="2"/>
  <c r="I3" i="2"/>
  <c r="P14" i="2"/>
  <c r="P11" i="2"/>
  <c r="P12" i="2"/>
  <c r="P13" i="2"/>
  <c r="I2" i="2"/>
  <c r="P47" i="2"/>
  <c r="P73" i="2"/>
  <c r="P78" i="2"/>
  <c r="P79" i="2"/>
  <c r="P84" i="2"/>
  <c r="S78" i="2"/>
  <c r="T78" i="2"/>
  <c r="S19" i="2"/>
  <c r="T19" i="2"/>
  <c r="S47" i="2"/>
  <c r="S11" i="2"/>
  <c r="T11" i="2"/>
  <c r="P115" i="2"/>
  <c r="P119" i="2"/>
  <c r="P111" i="2"/>
  <c r="P107" i="2"/>
  <c r="P118" i="2"/>
  <c r="P144" i="2"/>
  <c r="P116" i="2"/>
  <c r="P101" i="2"/>
  <c r="P98" i="2"/>
  <c r="P117" i="2"/>
  <c r="P112" i="2"/>
  <c r="P152" i="2"/>
  <c r="P147" i="2"/>
  <c r="P105" i="2"/>
  <c r="P145" i="2"/>
  <c r="P90" i="2"/>
  <c r="P97" i="2"/>
  <c r="P155" i="2"/>
  <c r="P148" i="2"/>
  <c r="P154" i="2"/>
  <c r="P113" i="2"/>
  <c r="P122" i="2"/>
  <c r="P102" i="2"/>
  <c r="P94" i="2"/>
  <c r="P126" i="2"/>
  <c r="P109" i="2"/>
  <c r="S29" i="2"/>
  <c r="S22" i="2"/>
  <c r="S49" i="2"/>
  <c r="T49" i="2"/>
  <c r="M3" i="2"/>
  <c r="L2" i="2"/>
  <c r="J2" i="2"/>
  <c r="P23" i="2"/>
  <c r="S23" i="2"/>
  <c r="P55" i="2"/>
  <c r="P34" i="2"/>
  <c r="P114" i="2"/>
  <c r="P182" i="2"/>
  <c r="P36" i="2"/>
  <c r="P60" i="2"/>
  <c r="P35" i="2"/>
  <c r="P22" i="2"/>
  <c r="P51" i="2"/>
  <c r="S69" i="2"/>
  <c r="P69" i="2"/>
  <c r="M2" i="2"/>
  <c r="S33" i="2"/>
  <c r="T33" i="2"/>
  <c r="P33" i="2"/>
  <c r="S20" i="2"/>
  <c r="P20" i="2"/>
  <c r="S37" i="2"/>
  <c r="P37" i="2"/>
  <c r="P189" i="2"/>
  <c r="T69" i="2"/>
  <c r="J24" i="2"/>
  <c r="J78" i="2"/>
  <c r="J30" i="2"/>
  <c r="J13" i="2"/>
  <c r="K13" i="2"/>
  <c r="J65" i="2"/>
  <c r="J55" i="2"/>
  <c r="K55" i="2"/>
  <c r="J53" i="2"/>
  <c r="J167" i="2"/>
  <c r="J159" i="2"/>
  <c r="J152" i="2"/>
  <c r="K152" i="2"/>
  <c r="J144" i="2"/>
  <c r="J131" i="2"/>
  <c r="J123" i="2"/>
  <c r="J114" i="2"/>
  <c r="K114" i="2"/>
  <c r="J106" i="2"/>
  <c r="J99" i="2"/>
  <c r="K99" i="2"/>
  <c r="J91" i="2"/>
  <c r="M12" i="2"/>
  <c r="M63" i="2"/>
  <c r="M54" i="2"/>
  <c r="M47" i="2"/>
  <c r="M171" i="2"/>
  <c r="M165" i="2"/>
  <c r="M158" i="2"/>
  <c r="M153" i="2"/>
  <c r="M147" i="2"/>
  <c r="M136" i="2"/>
  <c r="M131" i="2"/>
  <c r="M123" i="2"/>
  <c r="M117" i="2"/>
  <c r="M112" i="2"/>
  <c r="M105" i="2"/>
  <c r="M98" i="2"/>
  <c r="M92" i="2"/>
  <c r="O29" i="2"/>
  <c r="O19" i="2"/>
  <c r="O65" i="2"/>
  <c r="O168" i="2"/>
  <c r="O136" i="2"/>
  <c r="J84" i="2"/>
  <c r="J20" i="2"/>
  <c r="J62" i="2"/>
  <c r="J50" i="2"/>
  <c r="J171" i="2"/>
  <c r="J165" i="2"/>
  <c r="K165" i="2"/>
  <c r="J155" i="2"/>
  <c r="J148" i="2"/>
  <c r="J135" i="2"/>
  <c r="J126" i="2"/>
  <c r="K126" i="2"/>
  <c r="J118" i="2"/>
  <c r="J111" i="2"/>
  <c r="J95" i="2"/>
  <c r="M78" i="2"/>
  <c r="M69" i="2"/>
  <c r="M137" i="2"/>
  <c r="M65" i="2"/>
  <c r="M60" i="2"/>
  <c r="M51" i="2"/>
  <c r="M173" i="2"/>
  <c r="M168" i="2"/>
  <c r="M162" i="2"/>
  <c r="M155" i="2"/>
  <c r="M150" i="2"/>
  <c r="M145" i="2"/>
  <c r="M133" i="2"/>
  <c r="M127" i="2"/>
  <c r="M120" i="2"/>
  <c r="M114" i="2"/>
  <c r="M109" i="2"/>
  <c r="M101" i="2"/>
  <c r="M95" i="2"/>
  <c r="O23" i="2"/>
  <c r="O137" i="2"/>
  <c r="O50" i="2"/>
  <c r="O155" i="2"/>
  <c r="O117" i="2"/>
  <c r="O98" i="2"/>
  <c r="J93" i="2"/>
  <c r="J73" i="2"/>
  <c r="J74" i="2"/>
  <c r="J14" i="2"/>
  <c r="J69" i="2"/>
  <c r="J67" i="2"/>
  <c r="K67" i="2"/>
  <c r="J59" i="2"/>
  <c r="J48" i="2"/>
  <c r="J170" i="2"/>
  <c r="J161" i="2"/>
  <c r="J153" i="2"/>
  <c r="J147" i="2"/>
  <c r="J133" i="2"/>
  <c r="J124" i="2"/>
  <c r="O124" i="2"/>
  <c r="M124" i="2"/>
  <c r="Q124" i="2"/>
  <c r="R124" i="2"/>
  <c r="J116" i="2"/>
  <c r="J107" i="2"/>
  <c r="J100" i="2"/>
  <c r="M182" i="2"/>
  <c r="M84" i="2"/>
  <c r="M14" i="2"/>
  <c r="M64" i="2"/>
  <c r="M59" i="2"/>
  <c r="M48" i="2"/>
  <c r="M172" i="2"/>
  <c r="M167" i="2"/>
  <c r="M159" i="2"/>
  <c r="M154" i="2"/>
  <c r="M149" i="2"/>
  <c r="M143" i="2"/>
  <c r="M132" i="2"/>
  <c r="M126" i="2"/>
  <c r="M118" i="2"/>
  <c r="M113" i="2"/>
  <c r="M107" i="2"/>
  <c r="M99" i="2"/>
  <c r="M94" i="2"/>
  <c r="O31" i="2"/>
  <c r="O20" i="2"/>
  <c r="O173" i="2"/>
  <c r="O150" i="2"/>
  <c r="J150" i="2"/>
  <c r="Q150" i="2"/>
  <c r="R150" i="2"/>
  <c r="T32" i="2"/>
  <c r="P49" i="2"/>
  <c r="T28" i="2"/>
  <c r="K28" i="2"/>
  <c r="T26" i="2"/>
  <c r="T23" i="2"/>
  <c r="T79" i="2"/>
  <c r="K78" i="2"/>
  <c r="K65" i="2"/>
  <c r="K123" i="2"/>
  <c r="K54" i="2"/>
  <c r="P146" i="2"/>
  <c r="Q56" i="2"/>
  <c r="R56" i="2"/>
  <c r="K149" i="2"/>
  <c r="K119" i="2"/>
  <c r="K107" i="2"/>
  <c r="S48" i="2"/>
  <c r="T48" i="2"/>
  <c r="Q34" i="2"/>
  <c r="R34" i="2"/>
  <c r="K20" i="2"/>
  <c r="K148" i="2"/>
  <c r="Q35" i="2"/>
  <c r="R35" i="2"/>
  <c r="K160" i="2"/>
  <c r="P24" i="2"/>
  <c r="T47" i="2"/>
  <c r="Q33" i="2"/>
  <c r="R33" i="2"/>
  <c r="K48" i="2"/>
  <c r="M93" i="2"/>
  <c r="T68" i="2"/>
  <c r="K93" i="2"/>
  <c r="Q28" i="2"/>
  <c r="R28" i="2"/>
  <c r="M24" i="2"/>
  <c r="M29" i="2"/>
  <c r="M37" i="2"/>
  <c r="M31" i="2"/>
  <c r="M25" i="2"/>
  <c r="M20" i="2"/>
  <c r="Q20" i="2"/>
  <c r="R20" i="2"/>
  <c r="AG20" i="2"/>
  <c r="K194" i="2"/>
  <c r="J19" i="2"/>
  <c r="K19" i="2"/>
  <c r="J22" i="2"/>
  <c r="J26" i="2"/>
  <c r="K26" i="2"/>
  <c r="J31" i="2"/>
  <c r="K31" i="2"/>
  <c r="J3" i="2"/>
  <c r="O93" i="2"/>
  <c r="O92" i="2"/>
  <c r="O97" i="2"/>
  <c r="O101" i="2"/>
  <c r="O107" i="2"/>
  <c r="Q107" i="2"/>
  <c r="R107" i="2"/>
  <c r="O112" i="2"/>
  <c r="Q112" i="2"/>
  <c r="R112" i="2"/>
  <c r="O116" i="2"/>
  <c r="O120" i="2"/>
  <c r="O126" i="2"/>
  <c r="Q126" i="2"/>
  <c r="R126" i="2"/>
  <c r="O131" i="2"/>
  <c r="O135" i="2"/>
  <c r="Q135" i="2"/>
  <c r="O145" i="2"/>
  <c r="O149" i="2"/>
  <c r="Q149" i="2"/>
  <c r="R149" i="2"/>
  <c r="O153" i="2"/>
  <c r="O157" i="2"/>
  <c r="O162" i="2"/>
  <c r="O167" i="2"/>
  <c r="Q167" i="2"/>
  <c r="R167" i="2"/>
  <c r="O171" i="2"/>
  <c r="O53" i="2"/>
  <c r="O51" i="2"/>
  <c r="O59" i="2"/>
  <c r="Q59" i="2"/>
  <c r="R59" i="2"/>
  <c r="O63" i="2"/>
  <c r="O67" i="2"/>
  <c r="O14" i="2"/>
  <c r="O78" i="2"/>
  <c r="O84" i="2"/>
  <c r="O94" i="2"/>
  <c r="O91" i="2"/>
  <c r="O96" i="2"/>
  <c r="O100" i="2"/>
  <c r="O106" i="2"/>
  <c r="O111" i="2"/>
  <c r="O115" i="2"/>
  <c r="O119" i="2"/>
  <c r="O130" i="2"/>
  <c r="O134" i="2"/>
  <c r="O144" i="2"/>
  <c r="O148" i="2"/>
  <c r="J29" i="2"/>
  <c r="K29" i="2"/>
  <c r="J23" i="2"/>
  <c r="K23" i="2"/>
  <c r="K191" i="2"/>
  <c r="M30" i="2"/>
  <c r="M23" i="2"/>
  <c r="M19" i="2"/>
  <c r="O79" i="2"/>
  <c r="O64" i="2"/>
  <c r="O55" i="2"/>
  <c r="O48" i="2"/>
  <c r="Q48" i="2"/>
  <c r="R48" i="2"/>
  <c r="AF48" i="2"/>
  <c r="O172" i="2"/>
  <c r="O166" i="2"/>
  <c r="O159" i="2"/>
  <c r="O154" i="2"/>
  <c r="O147" i="2"/>
  <c r="Q147" i="2"/>
  <c r="R147" i="2"/>
  <c r="O133" i="2"/>
  <c r="Q133" i="2"/>
  <c r="O123" i="2"/>
  <c r="O114" i="2"/>
  <c r="O105" i="2"/>
  <c r="Q105" i="2"/>
  <c r="R105" i="2"/>
  <c r="O95" i="2"/>
  <c r="J37" i="2"/>
  <c r="K37" i="2"/>
  <c r="J27" i="2"/>
  <c r="K27" i="2"/>
  <c r="J21" i="2"/>
  <c r="K21" i="2"/>
  <c r="K195" i="2"/>
  <c r="K189" i="2"/>
  <c r="L3" i="2"/>
  <c r="O21" i="2"/>
  <c r="O25" i="2"/>
  <c r="O30" i="2"/>
  <c r="O73" i="2"/>
  <c r="J104" i="2"/>
  <c r="K104" i="2"/>
  <c r="J94" i="2"/>
  <c r="Q94" i="2"/>
  <c r="R94" i="2"/>
  <c r="J98" i="2"/>
  <c r="K98" i="2"/>
  <c r="J102" i="2"/>
  <c r="J103" i="2"/>
  <c r="J109" i="2"/>
  <c r="J113" i="2"/>
  <c r="K113" i="2"/>
  <c r="J117" i="2"/>
  <c r="Q117" i="2"/>
  <c r="R117" i="2"/>
  <c r="J122" i="2"/>
  <c r="J127" i="2"/>
  <c r="K127" i="2"/>
  <c r="J132" i="2"/>
  <c r="K132" i="2"/>
  <c r="J136" i="2"/>
  <c r="J146" i="2"/>
  <c r="K146" i="2"/>
  <c r="K150" i="2"/>
  <c r="J154" i="2"/>
  <c r="K154" i="2"/>
  <c r="J158" i="2"/>
  <c r="K158" i="2"/>
  <c r="J163" i="2"/>
  <c r="J168" i="2"/>
  <c r="J172" i="2"/>
  <c r="K172" i="2"/>
  <c r="J47" i="2"/>
  <c r="K47" i="2"/>
  <c r="J52" i="2"/>
  <c r="J60" i="2"/>
  <c r="Q60" i="2"/>
  <c r="R60" i="2"/>
  <c r="J64" i="2"/>
  <c r="K64" i="2"/>
  <c r="J137" i="2"/>
  <c r="K137" i="2"/>
  <c r="AG11" i="2"/>
  <c r="J79" i="2"/>
  <c r="K79" i="2"/>
  <c r="J182" i="2"/>
  <c r="J80" i="2"/>
  <c r="E6" i="24"/>
  <c r="J32" i="2"/>
  <c r="K32" i="2"/>
  <c r="J25" i="2"/>
  <c r="K25" i="2"/>
  <c r="J12" i="2"/>
  <c r="O12" i="2"/>
  <c r="Q12" i="2"/>
  <c r="R12" i="2"/>
  <c r="K193" i="2"/>
  <c r="J68" i="2"/>
  <c r="K68" i="2"/>
  <c r="J66" i="2"/>
  <c r="K66" i="2"/>
  <c r="J61" i="2"/>
  <c r="K61" i="2"/>
  <c r="J51" i="2"/>
  <c r="K51" i="2"/>
  <c r="J49" i="2"/>
  <c r="K49" i="2"/>
  <c r="J169" i="2"/>
  <c r="K169" i="2"/>
  <c r="J162" i="2"/>
  <c r="K162" i="2"/>
  <c r="J156" i="2"/>
  <c r="K156" i="2"/>
  <c r="J151" i="2"/>
  <c r="O151" i="2"/>
  <c r="Q151" i="2"/>
  <c r="R151" i="2"/>
  <c r="J145" i="2"/>
  <c r="K145" i="2"/>
  <c r="J134" i="2"/>
  <c r="K134" i="2"/>
  <c r="J128" i="2"/>
  <c r="K128" i="2"/>
  <c r="J120" i="2"/>
  <c r="K120" i="2"/>
  <c r="J115" i="2"/>
  <c r="J110" i="2"/>
  <c r="K110" i="2"/>
  <c r="J101" i="2"/>
  <c r="K101" i="2"/>
  <c r="J96" i="2"/>
  <c r="K96" i="2"/>
  <c r="J90" i="2"/>
  <c r="M73" i="2"/>
  <c r="M32" i="2"/>
  <c r="M26" i="2"/>
  <c r="M21" i="2"/>
  <c r="O182" i="2"/>
  <c r="Q182" i="2"/>
  <c r="R182" i="2"/>
  <c r="O32" i="2"/>
  <c r="O26" i="2"/>
  <c r="O68" i="2"/>
  <c r="O66" i="2"/>
  <c r="O61" i="2"/>
  <c r="O52" i="2"/>
  <c r="O49" i="2"/>
  <c r="O169" i="2"/>
  <c r="O163" i="2"/>
  <c r="O156" i="2"/>
  <c r="O143" i="2"/>
  <c r="Q143" i="2"/>
  <c r="R143" i="2"/>
  <c r="O128" i="2"/>
  <c r="Q128" i="2"/>
  <c r="O118" i="2"/>
  <c r="O110" i="2"/>
  <c r="O99" i="2"/>
  <c r="M27" i="2"/>
  <c r="M22" i="2"/>
  <c r="O37" i="2"/>
  <c r="O27" i="2"/>
  <c r="O22" i="2"/>
  <c r="O13" i="2"/>
  <c r="O62" i="2"/>
  <c r="O54" i="2"/>
  <c r="O47" i="2"/>
  <c r="O170" i="2"/>
  <c r="O165" i="2"/>
  <c r="O158" i="2"/>
  <c r="O152" i="2"/>
  <c r="M152" i="2"/>
  <c r="Q152" i="2"/>
  <c r="R152" i="2"/>
  <c r="O146" i="2"/>
  <c r="Q146" i="2"/>
  <c r="R146" i="2"/>
  <c r="O132" i="2"/>
  <c r="O122" i="2"/>
  <c r="Q122" i="2"/>
  <c r="R122" i="2"/>
  <c r="O113" i="2"/>
  <c r="O103" i="2"/>
  <c r="Q103" i="2"/>
  <c r="R103" i="2"/>
  <c r="O102" i="2"/>
  <c r="Q102" i="2"/>
  <c r="R102" i="2"/>
  <c r="O90" i="2"/>
  <c r="J129" i="2"/>
  <c r="K129" i="2"/>
  <c r="J89" i="2"/>
  <c r="O125" i="2"/>
  <c r="M13" i="2"/>
  <c r="M66" i="2"/>
  <c r="M62" i="2"/>
  <c r="M55" i="2"/>
  <c r="M50" i="2"/>
  <c r="Q50" i="2"/>
  <c r="R50" i="2"/>
  <c r="M49" i="2"/>
  <c r="M170" i="2"/>
  <c r="M166" i="2"/>
  <c r="Q166" i="2"/>
  <c r="R166" i="2"/>
  <c r="M161" i="2"/>
  <c r="M156" i="2"/>
  <c r="M148" i="2"/>
  <c r="M144" i="2"/>
  <c r="M134" i="2"/>
  <c r="M130" i="2"/>
  <c r="M119" i="2"/>
  <c r="M115" i="2"/>
  <c r="M111" i="2"/>
  <c r="M106" i="2"/>
  <c r="M100" i="2"/>
  <c r="M96" i="2"/>
  <c r="J108" i="2"/>
  <c r="K108" i="2"/>
  <c r="T34" i="2"/>
  <c r="T27" i="2"/>
  <c r="Q155" i="2"/>
  <c r="R155" i="2"/>
  <c r="R133" i="2"/>
  <c r="Q118" i="2"/>
  <c r="R118" i="2"/>
  <c r="Q116" i="2"/>
  <c r="R116" i="2"/>
  <c r="Q97" i="2"/>
  <c r="R97" i="2"/>
  <c r="K167" i="2"/>
  <c r="K118" i="2"/>
  <c r="K182" i="2"/>
  <c r="K73" i="2"/>
  <c r="K153" i="2"/>
  <c r="K91" i="2"/>
  <c r="K102" i="2"/>
  <c r="K192" i="2"/>
  <c r="K161" i="2"/>
  <c r="Q58" i="2"/>
  <c r="R58" i="2"/>
  <c r="P157" i="2"/>
  <c r="K30" i="2"/>
  <c r="K59" i="2"/>
  <c r="K53" i="2"/>
  <c r="K157" i="2"/>
  <c r="K131" i="2"/>
  <c r="K116" i="2"/>
  <c r="K112" i="2"/>
  <c r="K97" i="2"/>
  <c r="K92" i="2"/>
  <c r="K105" i="2"/>
  <c r="K163" i="2"/>
  <c r="K166" i="2"/>
  <c r="K155" i="2"/>
  <c r="K52" i="2"/>
  <c r="K164" i="2"/>
  <c r="K106" i="2"/>
  <c r="K170" i="2"/>
  <c r="K69" i="2"/>
  <c r="K143" i="2"/>
  <c r="O104" i="2"/>
  <c r="M104" i="2"/>
  <c r="K130" i="2"/>
  <c r="T37" i="2"/>
  <c r="K63" i="2"/>
  <c r="K168" i="2"/>
  <c r="K95" i="2"/>
  <c r="K22" i="2"/>
  <c r="K89" i="2"/>
  <c r="P48" i="2"/>
  <c r="K60" i="2"/>
  <c r="K109" i="2"/>
  <c r="K103" i="2"/>
  <c r="J125" i="2"/>
  <c r="K125" i="2"/>
  <c r="T73" i="2"/>
  <c r="K144" i="2"/>
  <c r="T31" i="2"/>
  <c r="Q36" i="2"/>
  <c r="R36" i="2"/>
  <c r="M125" i="2"/>
  <c r="Q53" i="2"/>
  <c r="R53" i="2"/>
  <c r="O89" i="2"/>
  <c r="M89" i="2"/>
  <c r="O121" i="2"/>
  <c r="M121" i="2"/>
  <c r="J121" i="2"/>
  <c r="K121" i="2"/>
  <c r="K24" i="2"/>
  <c r="K171" i="2"/>
  <c r="Q57" i="2"/>
  <c r="R57" i="2"/>
  <c r="K173" i="2"/>
  <c r="K159" i="2"/>
  <c r="K133" i="2"/>
  <c r="K111" i="2"/>
  <c r="Q109" i="2"/>
  <c r="R109" i="2"/>
  <c r="K50" i="2"/>
  <c r="Q170" i="2"/>
  <c r="R170" i="2"/>
  <c r="Q14" i="2"/>
  <c r="R14" i="2"/>
  <c r="K14" i="2"/>
  <c r="K62" i="2"/>
  <c r="P65" i="2"/>
  <c r="S42" i="2"/>
  <c r="Q92" i="2"/>
  <c r="R92" i="2"/>
  <c r="K100" i="2"/>
  <c r="H85" i="2"/>
  <c r="K124" i="2"/>
  <c r="Q171" i="2"/>
  <c r="R171" i="2"/>
  <c r="P61" i="2"/>
  <c r="Q148" i="2"/>
  <c r="R148" i="2"/>
  <c r="T20" i="2"/>
  <c r="Q173" i="2"/>
  <c r="R173" i="2"/>
  <c r="P62" i="2"/>
  <c r="K9" i="2"/>
  <c r="K147" i="2"/>
  <c r="T29" i="2"/>
  <c r="S189" i="2"/>
  <c r="T25" i="2"/>
  <c r="D6" i="24"/>
  <c r="Q69" i="2"/>
  <c r="R69" i="2"/>
  <c r="AD69" i="2"/>
  <c r="K84" i="2"/>
  <c r="R135" i="2"/>
  <c r="K135" i="2"/>
  <c r="K122" i="2"/>
  <c r="Q98" i="2"/>
  <c r="R98" i="2"/>
  <c r="Q78" i="2"/>
  <c r="R78" i="2"/>
  <c r="T21" i="2"/>
  <c r="J184" i="2"/>
  <c r="O129" i="2"/>
  <c r="M129" i="2"/>
  <c r="O108" i="2"/>
  <c r="M108" i="2"/>
  <c r="P178" i="2"/>
  <c r="P52" i="2"/>
  <c r="T22" i="2"/>
  <c r="S137" i="2"/>
  <c r="T137" i="2"/>
  <c r="Q137" i="2"/>
  <c r="R137" i="2"/>
  <c r="Q139" i="2"/>
  <c r="R139" i="2"/>
  <c r="P141" i="2"/>
  <c r="K117" i="2"/>
  <c r="Q99" i="2"/>
  <c r="R99" i="2"/>
  <c r="Q131" i="2"/>
  <c r="R131" i="2"/>
  <c r="Q136" i="2"/>
  <c r="R136" i="2"/>
  <c r="K11" i="2"/>
  <c r="Q13" i="2"/>
  <c r="R13" i="2"/>
  <c r="M85" i="2"/>
  <c r="Q158" i="2"/>
  <c r="R158" i="2"/>
  <c r="Q54" i="2"/>
  <c r="R54" i="2"/>
  <c r="Q90" i="2"/>
  <c r="R90" i="2"/>
  <c r="Q114" i="2"/>
  <c r="R114" i="2"/>
  <c r="Q134" i="2"/>
  <c r="Q96" i="2"/>
  <c r="R96" i="2"/>
  <c r="Q84" i="2"/>
  <c r="R84" i="2"/>
  <c r="Q51" i="2"/>
  <c r="R51" i="2"/>
  <c r="Q162" i="2"/>
  <c r="R162" i="2"/>
  <c r="Q145" i="2"/>
  <c r="R145" i="2"/>
  <c r="P139" i="2"/>
  <c r="Q129" i="2"/>
  <c r="R129" i="2"/>
  <c r="M80" i="2"/>
  <c r="M184" i="2"/>
  <c r="Q132" i="2"/>
  <c r="R132" i="2"/>
  <c r="Q165" i="2"/>
  <c r="R165" i="2"/>
  <c r="Q62" i="2"/>
  <c r="R62" i="2"/>
  <c r="Q168" i="2"/>
  <c r="R168" i="2"/>
  <c r="O39" i="2"/>
  <c r="Q130" i="2"/>
  <c r="T24" i="2"/>
  <c r="Q22" i="2"/>
  <c r="R22" i="2"/>
  <c r="AF22" i="2"/>
  <c r="Q19" i="2"/>
  <c r="R19" i="2"/>
  <c r="AG19" i="2"/>
  <c r="Q24" i="2"/>
  <c r="R24" i="2"/>
  <c r="AE24" i="2"/>
  <c r="K94" i="2"/>
  <c r="R128" i="2"/>
  <c r="Q115" i="2"/>
  <c r="R115" i="2"/>
  <c r="Q79" i="2"/>
  <c r="R79" i="2"/>
  <c r="Q177" i="2"/>
  <c r="R177" i="2"/>
  <c r="K90" i="2"/>
  <c r="Q27" i="2"/>
  <c r="R27" i="2"/>
  <c r="Q29" i="2"/>
  <c r="R29" i="2"/>
  <c r="Q26" i="2"/>
  <c r="R26" i="2"/>
  <c r="AE48" i="2"/>
  <c r="K12" i="2"/>
  <c r="R130" i="2"/>
  <c r="Q68" i="2"/>
  <c r="R68" i="2"/>
  <c r="Q153" i="2"/>
  <c r="R153" i="2"/>
  <c r="K15" i="2"/>
  <c r="M15" i="2"/>
  <c r="M39" i="2"/>
  <c r="Q163" i="2"/>
  <c r="R163" i="2"/>
  <c r="Q30" i="2"/>
  <c r="R30" i="2"/>
  <c r="Q37" i="2"/>
  <c r="R37" i="2"/>
  <c r="M74" i="2"/>
  <c r="Q119" i="2"/>
  <c r="R119" i="2"/>
  <c r="Q100" i="2"/>
  <c r="R100" i="2"/>
  <c r="Q169" i="2"/>
  <c r="R169" i="2"/>
  <c r="O196" i="2"/>
  <c r="Q154" i="2"/>
  <c r="R154" i="2"/>
  <c r="Q120" i="2"/>
  <c r="R120" i="2"/>
  <c r="J70" i="2"/>
  <c r="E5" i="24"/>
  <c r="J85" i="2"/>
  <c r="K151" i="2"/>
  <c r="K115" i="2"/>
  <c r="AC184" i="2"/>
  <c r="Q21" i="2"/>
  <c r="R21" i="2"/>
  <c r="AD21" i="2"/>
  <c r="O184" i="2"/>
  <c r="Q111" i="2"/>
  <c r="R111" i="2"/>
  <c r="P63" i="2"/>
  <c r="Q144" i="2"/>
  <c r="R144" i="2"/>
  <c r="Q61" i="2"/>
  <c r="R61" i="2"/>
  <c r="K136" i="2"/>
  <c r="Q25" i="2"/>
  <c r="R25" i="2"/>
  <c r="J15" i="2"/>
  <c r="K70" i="2"/>
  <c r="Q49" i="2"/>
  <c r="R49" i="2"/>
  <c r="Q47" i="2"/>
  <c r="R47" i="2"/>
  <c r="M196" i="2"/>
  <c r="Q32" i="2"/>
  <c r="R32" i="2"/>
  <c r="Q172" i="2"/>
  <c r="R172" i="2"/>
  <c r="AD68" i="2"/>
  <c r="AG68" i="2"/>
  <c r="AF19" i="2"/>
  <c r="M70" i="2"/>
  <c r="Q113" i="2"/>
  <c r="R113" i="2"/>
  <c r="J39" i="2"/>
  <c r="E3" i="24"/>
  <c r="AE11" i="2"/>
  <c r="Q31" i="2"/>
  <c r="R31" i="2"/>
  <c r="Q23" i="2"/>
  <c r="R23" i="2"/>
  <c r="O74" i="2"/>
  <c r="AD48" i="2"/>
  <c r="Q73" i="2"/>
  <c r="R73" i="2"/>
  <c r="Q64" i="2"/>
  <c r="R64" i="2"/>
  <c r="O85" i="2"/>
  <c r="AG48" i="2"/>
  <c r="Q55" i="2"/>
  <c r="R55" i="2"/>
  <c r="R134" i="2"/>
  <c r="Q101" i="2"/>
  <c r="R101" i="2"/>
  <c r="K74" i="2"/>
  <c r="AD11" i="2"/>
  <c r="AF11" i="2"/>
  <c r="O70" i="2"/>
  <c r="O80" i="2"/>
  <c r="K80" i="2"/>
  <c r="Q156" i="2"/>
  <c r="R156" i="2"/>
  <c r="O15" i="2"/>
  <c r="O42" i="2"/>
  <c r="K184" i="2"/>
  <c r="P191" i="2"/>
  <c r="S191" i="2"/>
  <c r="T191" i="2"/>
  <c r="AE21" i="2"/>
  <c r="AE69" i="2"/>
  <c r="J174" i="2"/>
  <c r="E7" i="24"/>
  <c r="AE68" i="2"/>
  <c r="AF68" i="2"/>
  <c r="Q52" i="2"/>
  <c r="R52" i="2"/>
  <c r="K39" i="2"/>
  <c r="Q157" i="2"/>
  <c r="R157" i="2"/>
  <c r="P180" i="2"/>
  <c r="K85" i="2"/>
  <c r="T189" i="2"/>
  <c r="P53" i="2"/>
  <c r="M174" i="2"/>
  <c r="AG69" i="2"/>
  <c r="Q181" i="2"/>
  <c r="R181" i="2"/>
  <c r="P181" i="2"/>
  <c r="AD78" i="2"/>
  <c r="AE78" i="2"/>
  <c r="AA80" i="2"/>
  <c r="AF78" i="2"/>
  <c r="AG78" i="2"/>
  <c r="O174" i="2"/>
  <c r="AF69" i="2"/>
  <c r="D10" i="24"/>
  <c r="S192" i="2"/>
  <c r="P192" i="2"/>
  <c r="T85" i="2"/>
  <c r="P66" i="2"/>
  <c r="M42" i="2"/>
  <c r="M43" i="2"/>
  <c r="Z80" i="2"/>
  <c r="Q178" i="2"/>
  <c r="R178" i="2"/>
  <c r="Q65" i="2"/>
  <c r="R65" i="2"/>
  <c r="K196" i="2"/>
  <c r="J196" i="2"/>
  <c r="Q89" i="2"/>
  <c r="R89" i="2"/>
  <c r="P108" i="2"/>
  <c r="Q93" i="2"/>
  <c r="R93" i="2"/>
  <c r="P89" i="2"/>
  <c r="P93" i="2"/>
  <c r="Q108" i="2"/>
  <c r="R108" i="2"/>
  <c r="P179" i="2"/>
  <c r="AD20" i="2"/>
  <c r="AF20" i="2"/>
  <c r="AE20" i="2"/>
  <c r="AG22" i="2"/>
  <c r="AG21" i="2"/>
  <c r="AD22" i="2"/>
  <c r="AE22" i="2"/>
  <c r="Q141" i="2"/>
  <c r="R141" i="2"/>
  <c r="AD24" i="2"/>
  <c r="AE19" i="2"/>
  <c r="AD19" i="2"/>
  <c r="AF24" i="2"/>
  <c r="AG24" i="2"/>
  <c r="Q85" i="2"/>
  <c r="AF21" i="2"/>
  <c r="Q74" i="2"/>
  <c r="K174" i="2"/>
  <c r="O43" i="2"/>
  <c r="R39" i="2"/>
  <c r="AG39" i="2"/>
  <c r="E10" i="24"/>
  <c r="Q80" i="2"/>
  <c r="R80" i="2"/>
  <c r="R74" i="2"/>
  <c r="R15" i="2"/>
  <c r="AF47" i="2"/>
  <c r="AE47" i="2"/>
  <c r="AD47" i="2"/>
  <c r="AG47" i="2"/>
  <c r="Q15" i="2"/>
  <c r="AF49" i="2"/>
  <c r="AE49" i="2"/>
  <c r="AG49" i="2"/>
  <c r="AD49" i="2"/>
  <c r="Q63" i="2"/>
  <c r="R63" i="2"/>
  <c r="AD73" i="2"/>
  <c r="AE73" i="2"/>
  <c r="AG73" i="2"/>
  <c r="AF73" i="2"/>
  <c r="J42" i="2"/>
  <c r="K42" i="2"/>
  <c r="K43" i="2"/>
  <c r="AG23" i="2"/>
  <c r="AD23" i="2"/>
  <c r="AE23" i="2"/>
  <c r="AF23" i="2"/>
  <c r="AB184" i="2"/>
  <c r="AA184" i="2"/>
  <c r="Z184" i="2"/>
  <c r="Q180" i="2"/>
  <c r="R180" i="2"/>
  <c r="T192" i="2"/>
  <c r="D5" i="24"/>
  <c r="C6" i="24"/>
  <c r="F6" i="24"/>
  <c r="P67" i="2"/>
  <c r="P193" i="2"/>
  <c r="S193" i="2"/>
  <c r="P104" i="2"/>
  <c r="Q66" i="2"/>
  <c r="R66" i="2"/>
  <c r="P121" i="2"/>
  <c r="AG137" i="2"/>
  <c r="AE137" i="2"/>
  <c r="AF137" i="2"/>
  <c r="AD137" i="2"/>
  <c r="P123" i="2"/>
  <c r="Q106" i="2"/>
  <c r="R106" i="2"/>
  <c r="P106" i="2"/>
  <c r="Q95" i="2"/>
  <c r="R95" i="2"/>
  <c r="P91" i="2"/>
  <c r="P125" i="2"/>
  <c r="Q91" i="2"/>
  <c r="R91" i="2"/>
  <c r="P95" i="2"/>
  <c r="Q123" i="2"/>
  <c r="R123" i="2"/>
  <c r="Q104" i="2"/>
  <c r="R104" i="2"/>
  <c r="Q179" i="2"/>
  <c r="R179" i="2"/>
  <c r="Q121" i="2"/>
  <c r="R121" i="2"/>
  <c r="K205" i="2"/>
  <c r="P159" i="2"/>
  <c r="P161" i="2"/>
  <c r="AF39" i="2"/>
  <c r="AE39" i="2"/>
  <c r="R184" i="2"/>
  <c r="J43" i="2"/>
  <c r="Q42" i="2"/>
  <c r="R42" i="2"/>
  <c r="AD39" i="2"/>
  <c r="Q196" i="2"/>
  <c r="P127" i="2"/>
  <c r="Q67" i="2"/>
  <c r="R67" i="2"/>
  <c r="P110" i="2"/>
  <c r="D31" i="22"/>
  <c r="R70" i="2"/>
  <c r="T193" i="2"/>
  <c r="D7" i="24"/>
  <c r="Q125" i="2"/>
  <c r="R125" i="2"/>
  <c r="Q110" i="2"/>
  <c r="R110" i="2"/>
  <c r="Q159" i="2"/>
  <c r="R159" i="2"/>
  <c r="Q184" i="2"/>
  <c r="Q161" i="2"/>
  <c r="R161" i="2"/>
  <c r="D3" i="24"/>
  <c r="Q127" i="2"/>
  <c r="R127" i="2"/>
  <c r="AC71" i="2"/>
  <c r="Z71" i="2"/>
  <c r="AA71" i="2"/>
  <c r="AB71" i="2"/>
  <c r="Q70" i="2"/>
  <c r="D4" i="24"/>
  <c r="D11" i="24"/>
  <c r="C10" i="24"/>
  <c r="F10" i="24"/>
  <c r="Q174" i="2"/>
  <c r="R174" i="2"/>
  <c r="T174" i="2"/>
  <c r="E4" i="24"/>
  <c r="E11" i="24"/>
  <c r="D12" i="24"/>
  <c r="D13" i="24"/>
  <c r="E12" i="24"/>
  <c r="E13" i="24"/>
  <c r="C5" i="24"/>
  <c r="F5" i="24"/>
  <c r="C7" i="24"/>
  <c r="F7" i="24"/>
  <c r="C3" i="24"/>
  <c r="T42" i="2"/>
  <c r="Q43" i="2"/>
  <c r="R43" i="2"/>
  <c r="F3" i="24"/>
  <c r="AD43" i="2"/>
  <c r="AG43" i="2"/>
  <c r="AE43" i="2"/>
  <c r="AF43" i="2"/>
  <c r="C4" i="24"/>
  <c r="F4" i="24"/>
  <c r="C11" i="24"/>
  <c r="F11" i="24"/>
  <c r="D29" i="22"/>
  <c r="C12" i="24"/>
  <c r="F12" i="24"/>
  <c r="C13" i="24"/>
  <c r="F13" i="24"/>
</calcChain>
</file>

<file path=xl/sharedStrings.xml><?xml version="1.0" encoding="utf-8"?>
<sst xmlns="http://schemas.openxmlformats.org/spreadsheetml/2006/main" count="632" uniqueCount="393">
  <si>
    <t>YEAR 1</t>
  </si>
  <si>
    <t>TOTAL</t>
  </si>
  <si>
    <t>DESCRIPTION</t>
  </si>
  <si>
    <t># of Units</t>
  </si>
  <si>
    <t xml:space="preserve"> Total Cost</t>
  </si>
  <si>
    <t xml:space="preserve"> </t>
  </si>
  <si>
    <t>day</t>
  </si>
  <si>
    <t>II. LOCAL STAFF</t>
  </si>
  <si>
    <t>month</t>
  </si>
  <si>
    <t>B. PROJECT SALARIES SUPPORT</t>
  </si>
  <si>
    <t>SUBTOTAL LOCAL STAFF</t>
  </si>
  <si>
    <t>III. FRINGES</t>
  </si>
  <si>
    <t>SUBTOTAL FRINGES</t>
  </si>
  <si>
    <t>trip</t>
  </si>
  <si>
    <t>SUBTOTAL TRAVEL</t>
  </si>
  <si>
    <t>Interpretation/Translation</t>
  </si>
  <si>
    <t>unit</t>
  </si>
  <si>
    <t>Utilities</t>
  </si>
  <si>
    <t>Equipment Maintenance</t>
  </si>
  <si>
    <t>Office Supplies</t>
  </si>
  <si>
    <t>SUBTOTAL OTHER DIRECT COSTS</t>
  </si>
  <si>
    <t>YEAR 5</t>
  </si>
  <si>
    <t>Inflation</t>
  </si>
  <si>
    <t>SUBTOTAL SUBAWARDS/SUBCONTRACTS</t>
  </si>
  <si>
    <t>SUMMARY BUDGET</t>
  </si>
  <si>
    <t>Range</t>
  </si>
  <si>
    <t>Range Name</t>
  </si>
  <si>
    <t>intlfringe</t>
  </si>
  <si>
    <t>localfringe</t>
  </si>
  <si>
    <t>Rates</t>
  </si>
  <si>
    <t>usinflation_yr2</t>
  </si>
  <si>
    <t>usinflation_yr3</t>
  </si>
  <si>
    <t>usinflation_yr4</t>
  </si>
  <si>
    <t>usinflation_yr5</t>
  </si>
  <si>
    <t>localinflation_yr2</t>
  </si>
  <si>
    <t>localinflation_yr3</t>
  </si>
  <si>
    <t>localinflation_yr4</t>
  </si>
  <si>
    <t>localinflation_yr5</t>
  </si>
  <si>
    <t>Exchange</t>
  </si>
  <si>
    <t>TYPE OF UNIT</t>
  </si>
  <si>
    <t>UNIT COST</t>
  </si>
  <si>
    <t>LocalCurrency</t>
  </si>
  <si>
    <t>Other - PLEASE DEFINE</t>
  </si>
  <si>
    <t xml:space="preserve">Exchange Rate: </t>
  </si>
  <si>
    <t>Year 2</t>
  </si>
  <si>
    <t>Year 3</t>
  </si>
  <si>
    <t>Year 4</t>
  </si>
  <si>
    <t>Year 5</t>
  </si>
  <si>
    <r>
      <t xml:space="preserve">Person Submitting: </t>
    </r>
    <r>
      <rPr>
        <u/>
        <sz val="9"/>
        <rFont val="Arial"/>
        <family val="2"/>
      </rPr>
      <t xml:space="preserve"> </t>
    </r>
  </si>
  <si>
    <t xml:space="preserve">Date to be submitted to donor:   </t>
  </si>
  <si>
    <t>Funding Mechanism</t>
  </si>
  <si>
    <t xml:space="preserve">Cooperative agreement </t>
  </si>
  <si>
    <t xml:space="preserve">Project: </t>
  </si>
  <si>
    <t xml:space="preserve">Grant </t>
  </si>
  <si>
    <t>Task order</t>
  </si>
  <si>
    <t xml:space="preserve">Contract </t>
  </si>
  <si>
    <t>Donor contact name and location:</t>
  </si>
  <si>
    <t>Proposal for (check all that apply):</t>
  </si>
  <si>
    <t xml:space="preserve">New project </t>
  </si>
  <si>
    <t xml:space="preserve">New donor </t>
  </si>
  <si>
    <t>Project extension/modification</t>
  </si>
  <si>
    <t>Follow-on project</t>
  </si>
  <si>
    <t>Solicited:</t>
  </si>
  <si>
    <t xml:space="preserve">No     </t>
  </si>
  <si>
    <t>Yes,  Reference No.</t>
  </si>
  <si>
    <t>Required Attachments</t>
  </si>
  <si>
    <t>Budget</t>
  </si>
  <si>
    <t>(Budget Approval)</t>
  </si>
  <si>
    <t>Date</t>
  </si>
  <si>
    <t xml:space="preserve">Technical Proposal </t>
  </si>
  <si>
    <t>Cost Share Form</t>
  </si>
  <si>
    <t>Subawards</t>
  </si>
  <si>
    <t>subaward</t>
  </si>
  <si>
    <t>Inoculations/Medical Exams</t>
  </si>
  <si>
    <t>Overhead</t>
  </si>
  <si>
    <t>SUBTOTAL FURNITURE/EQUIPMENT</t>
  </si>
  <si>
    <t>OBJ 1</t>
  </si>
  <si>
    <t>OBJ 2</t>
  </si>
  <si>
    <t>OBJ 3</t>
  </si>
  <si>
    <t>OBJ 4</t>
  </si>
  <si>
    <t>Admin Fee</t>
  </si>
  <si>
    <t>q1</t>
  </si>
  <si>
    <t>q2</t>
  </si>
  <si>
    <t>q3</t>
  </si>
  <si>
    <t>q4</t>
  </si>
  <si>
    <t>GRAND TOTAL</t>
  </si>
  <si>
    <t>MATH CHECK</t>
  </si>
  <si>
    <t>VARIANCE</t>
  </si>
  <si>
    <t>Proposal approved by:</t>
  </si>
  <si>
    <t>Project Effective Dates:</t>
  </si>
  <si>
    <t>Proposal Effective Dates:</t>
  </si>
  <si>
    <t>Other Donors for the project:</t>
  </si>
  <si>
    <t>Final Proposal with whom</t>
  </si>
  <si>
    <t>Final Budget with whom</t>
  </si>
  <si>
    <t>Total Budget Amount</t>
  </si>
  <si>
    <t>JPAL SA Admin Fee Amount</t>
  </si>
  <si>
    <t>Yes,  by how</t>
  </si>
  <si>
    <t>Cost Share if any</t>
  </si>
  <si>
    <t>Budget Section</t>
  </si>
  <si>
    <t>PROPOSAL SECTION</t>
  </si>
  <si>
    <t>PROPOSAL APPROVAL SECTION</t>
  </si>
  <si>
    <t>Certification required by the donor</t>
  </si>
  <si>
    <t>Support Letters required by the donor</t>
  </si>
  <si>
    <t>Admin and Finance</t>
  </si>
  <si>
    <t>Program Person Concerned</t>
  </si>
  <si>
    <t>DD Policy and CB or AD Research</t>
  </si>
  <si>
    <t>Name of Sub contractor/award(s) and/or local organization affiliated in the proposal:</t>
  </si>
  <si>
    <t>New Thematic Area</t>
  </si>
  <si>
    <t xml:space="preserve"> I. PI Cost </t>
  </si>
  <si>
    <t>YEAR 2</t>
  </si>
  <si>
    <t>YEAR 4</t>
  </si>
  <si>
    <t>SUBTOTAL FOREIGN PERSONNEL</t>
  </si>
  <si>
    <t>Research Associate - Foreign Origin</t>
  </si>
  <si>
    <t>Regional Survey Manager</t>
  </si>
  <si>
    <t>Project Assistant (Units = Number x months)</t>
  </si>
  <si>
    <t>I V. TRAVEL</t>
  </si>
  <si>
    <t>PI international air travel</t>
  </si>
  <si>
    <t>PI accomodation and food</t>
  </si>
  <si>
    <t>RM local travel</t>
  </si>
  <si>
    <t>RM accomodation</t>
  </si>
  <si>
    <t>RM per diem</t>
  </si>
  <si>
    <t>RA field travel</t>
  </si>
  <si>
    <t>Project Assistant Local Travel</t>
  </si>
  <si>
    <t>Senior Manager Survey Operations accomodation</t>
  </si>
  <si>
    <t>Senior Manager Survey Operations local travel</t>
  </si>
  <si>
    <t>Senior Manager Survey Operations per diem</t>
  </si>
  <si>
    <t>PI Incountry air travel</t>
  </si>
  <si>
    <t>RM Incountry air travel</t>
  </si>
  <si>
    <t>RA Incountry air travel</t>
  </si>
  <si>
    <t>AD Research Incountry air travel to the project location</t>
  </si>
  <si>
    <t>AD Research accomodation at the project location</t>
  </si>
  <si>
    <t>AD Research local travel for the project purpose</t>
  </si>
  <si>
    <t>AD Research per diem for project purpose</t>
  </si>
  <si>
    <t>Senior Manager Survey Operations Incountry air travel</t>
  </si>
  <si>
    <t>Local Vehicle Costs - Any Monthly Hire</t>
  </si>
  <si>
    <t>Air Travel for RA Meet and Training</t>
  </si>
  <si>
    <t>VIl.  SUBAWARDS/SUBCONTRACTS</t>
  </si>
  <si>
    <t>Surveyor Compensation</t>
  </si>
  <si>
    <t>Surveyor Local TA</t>
  </si>
  <si>
    <t>Surveyor Outstation TA</t>
  </si>
  <si>
    <t>Surveyor Outstation DA</t>
  </si>
  <si>
    <t>Survey Supervisor Compensation</t>
  </si>
  <si>
    <t>Survey Supervisor Local TA</t>
  </si>
  <si>
    <t>Survey Supervisor Outstation TA</t>
  </si>
  <si>
    <t>Survey Supervisor Outstation DA</t>
  </si>
  <si>
    <t>Venue Costs</t>
  </si>
  <si>
    <t>Food and Accomodation Costs</t>
  </si>
  <si>
    <t>Honorarium to Trainees</t>
  </si>
  <si>
    <t>Transportation for Field Practice</t>
  </si>
  <si>
    <t>Stationary during Trainings</t>
  </si>
  <si>
    <t>Dummy Questionarie Printing during Training and Field Practice</t>
  </si>
  <si>
    <t xml:space="preserve">Empirical Per Survey Costs </t>
  </si>
  <si>
    <t>Digital Data Collection Consultancy Costs</t>
  </si>
  <si>
    <t>Digital Data Collection related other software and miscellanous costs</t>
  </si>
  <si>
    <t>Data Entry Costs</t>
  </si>
  <si>
    <t>Health Equipment and other Data Collection Equipment Costs</t>
  </si>
  <si>
    <t xml:space="preserve">HB Bloood Analyser </t>
  </si>
  <si>
    <t>Consumable for Blood Analyser like Microcuvette and Lancets</t>
  </si>
  <si>
    <t>Any Lab Regent for the Blood Analyser</t>
  </si>
  <si>
    <t>Stadiometer</t>
  </si>
  <si>
    <t>SUBTOTAL SURVEY OPERATIONS COSTS</t>
  </si>
  <si>
    <t>VIII. SURVEY OPERATIONS COSTS</t>
  </si>
  <si>
    <t>Unit</t>
  </si>
  <si>
    <t xml:space="preserve">Rent - Field Office </t>
  </si>
  <si>
    <t>Field Office Repairs and Maintenance</t>
  </si>
  <si>
    <t>Trip</t>
  </si>
  <si>
    <t>Sub Award</t>
  </si>
  <si>
    <t>Daily</t>
  </si>
  <si>
    <t>Per Training</t>
  </si>
  <si>
    <t>Per Survey</t>
  </si>
  <si>
    <t>Non Salary Inflation</t>
  </si>
  <si>
    <t>Salary Inflation</t>
  </si>
  <si>
    <t>JPAL SA PROPOSAL APPROVAL FORM</t>
  </si>
  <si>
    <t>Date submitted to Grant Manager</t>
  </si>
  <si>
    <t>Please write your name</t>
  </si>
  <si>
    <t>A copy of the final technical and cost proposals, exactly as submitted to the donor, MUST be submitted to Grants Manager JPAL SA, if directly submitted by the PI</t>
  </si>
  <si>
    <t>IFMR Admin Fee accounted in Fringe</t>
  </si>
  <si>
    <t>Was the budget reduced from the first budget planned</t>
  </si>
  <si>
    <t>Computer Accessories - data cards</t>
  </si>
  <si>
    <t>person-day</t>
  </si>
  <si>
    <t>person-km</t>
  </si>
  <si>
    <t>Field Monitor Compensation</t>
  </si>
  <si>
    <t>Field Monitor Local TA</t>
  </si>
  <si>
    <t>Field Monitor Outstation TA</t>
  </si>
  <si>
    <t>Field Monitor Outstation DA</t>
  </si>
  <si>
    <t>Backchecker compensation</t>
  </si>
  <si>
    <t>Backchecker local TA</t>
  </si>
  <si>
    <t>Backchecker outstation TA</t>
  </si>
  <si>
    <t>Backchecker outstation DA</t>
  </si>
  <si>
    <t>Transport to and from venue</t>
  </si>
  <si>
    <t>person-trips</t>
  </si>
  <si>
    <t>Survey Questionnaire printing</t>
  </si>
  <si>
    <t>Personnel</t>
  </si>
  <si>
    <t>Fringes</t>
  </si>
  <si>
    <t>Travel</t>
  </si>
  <si>
    <t>Equipment</t>
  </si>
  <si>
    <t>Supplies</t>
  </si>
  <si>
    <t>Contractual</t>
  </si>
  <si>
    <t>Construction</t>
  </si>
  <si>
    <t>Others</t>
  </si>
  <si>
    <t>Total Direct Charges</t>
  </si>
  <si>
    <t>Indirect Charges</t>
  </si>
  <si>
    <t>Total Costs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</si>
  <si>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</si>
  <si>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</si>
  <si>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</si>
  <si>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</si>
  <si>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</si>
  <si>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</si>
  <si>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</si>
  <si>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</si>
  <si>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</si>
  <si>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</si>
  <si>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</si>
  <si>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Sl No</t>
  </si>
  <si>
    <t>Object Class Category</t>
  </si>
  <si>
    <t>Year 1</t>
  </si>
  <si>
    <t>Total</t>
  </si>
  <si>
    <t>Training for Survey (non-specialised surveys)</t>
  </si>
  <si>
    <t>Per page</t>
  </si>
  <si>
    <t>person-month</t>
  </si>
  <si>
    <t>Survey assistant Local TA</t>
  </si>
  <si>
    <t>Data and Software Specialist</t>
  </si>
  <si>
    <t xml:space="preserve"> A. PROJECT SALARIES - PROJECT</t>
  </si>
  <si>
    <t>Accountant (If needed directly by the PROJECT)</t>
  </si>
  <si>
    <t>Office Boy( If needed directly by the PROJECT)</t>
  </si>
  <si>
    <t>SUBTOTAL PROJECT RELATED TRAINING/CONF./MTGS.</t>
  </si>
  <si>
    <t>Training for Survey</t>
  </si>
  <si>
    <t>Financial Yr 3</t>
  </si>
  <si>
    <t>Health and safety equipment for survey staff</t>
  </si>
  <si>
    <t>Currency</t>
  </si>
  <si>
    <t xml:space="preserve">Total Cost  </t>
  </si>
  <si>
    <t>INR</t>
  </si>
  <si>
    <t>USD</t>
  </si>
  <si>
    <t>Labor payments (Subjects)</t>
  </si>
  <si>
    <t>Labor food and tea (Subjects)</t>
  </si>
  <si>
    <t>Worker payments</t>
  </si>
  <si>
    <t>Number of workers per round</t>
  </si>
  <si>
    <t>Number of rounds required</t>
  </si>
  <si>
    <t>Number of weeks per round</t>
  </si>
  <si>
    <t>Number of days worked per week</t>
  </si>
  <si>
    <t>Total Worker man days</t>
  </si>
  <si>
    <t>Data entry costs</t>
  </si>
  <si>
    <t>Number of instruments</t>
  </si>
  <si>
    <t>Pages per instrument</t>
  </si>
  <si>
    <t>Employer</t>
  </si>
  <si>
    <t>Units of surveys per worker</t>
  </si>
  <si>
    <t>Prod_Log</t>
  </si>
  <si>
    <t>Total worker units required</t>
  </si>
  <si>
    <t xml:space="preserve">Total survey pages </t>
  </si>
  <si>
    <t>Total survey paper per worker</t>
  </si>
  <si>
    <t>Control group</t>
  </si>
  <si>
    <t>Number of control subjects per round</t>
  </si>
  <si>
    <t>Number of rounds</t>
  </si>
  <si>
    <t>Total control subjects</t>
  </si>
  <si>
    <t>Survey operations</t>
  </si>
  <si>
    <t>Recruitment</t>
  </si>
  <si>
    <t>Total days required</t>
  </si>
  <si>
    <t>Travel (KM)</t>
  </si>
  <si>
    <t>Other</t>
  </si>
  <si>
    <t>Flyers for recruitment per round(Rs. 1 per flyer)</t>
  </si>
  <si>
    <t>Days required per round/surveyor</t>
  </si>
  <si>
    <t>Person required per round/surveyor</t>
  </si>
  <si>
    <t>Baseline + Endline (worksite)</t>
  </si>
  <si>
    <t>Total number of surveys per worker</t>
  </si>
  <si>
    <t>Workers</t>
  </si>
  <si>
    <t>Surveys per surveyor/day</t>
  </si>
  <si>
    <t>Work days per round</t>
  </si>
  <si>
    <t>Total surveypor work days</t>
  </si>
  <si>
    <t>Baseline + Endline (control)</t>
  </si>
  <si>
    <t>Total number of surveys per subject</t>
  </si>
  <si>
    <t>Subjects</t>
  </si>
  <si>
    <t xml:space="preserve">Toal number of surveys </t>
  </si>
  <si>
    <t>Employer surveys per round</t>
  </si>
  <si>
    <t>Employer survey</t>
  </si>
  <si>
    <t>Toatal surveyor work days</t>
  </si>
  <si>
    <t>Travel (50 KM per surveyor/day)</t>
  </si>
  <si>
    <t>Surveyor Training</t>
  </si>
  <si>
    <t>Total number of training days/surveyor</t>
  </si>
  <si>
    <t>Number of surveyors</t>
  </si>
  <si>
    <t>Total training days</t>
  </si>
  <si>
    <t>Per day (KM)</t>
  </si>
  <si>
    <t>Days per month</t>
  </si>
  <si>
    <t>PA travel</t>
  </si>
  <si>
    <t>Other - Printing flyers for recruitment</t>
  </si>
  <si>
    <t>Graduate student accommodation</t>
  </si>
  <si>
    <t>Per PA travel (KM) per month</t>
  </si>
  <si>
    <t>GBP</t>
  </si>
  <si>
    <t>Graduate student air travel</t>
  </si>
  <si>
    <t>Graduate student incountry travel</t>
  </si>
  <si>
    <t>Other - Survey costs (from Actuals till Mar, 2014)</t>
  </si>
  <si>
    <t>Other - Printing and photocopying (till Mar, 2014)</t>
  </si>
  <si>
    <t>Equipment (weighing scales for agarbatti production)</t>
  </si>
  <si>
    <t>Per unit</t>
  </si>
  <si>
    <t>Endline dropout</t>
  </si>
  <si>
    <t>Endline dropout per round</t>
  </si>
  <si>
    <t>Associate Director - Research</t>
  </si>
  <si>
    <t>Senior Research Manager - Survey Operations</t>
  </si>
  <si>
    <t>Travel (75 KM per day/surveyor)</t>
  </si>
  <si>
    <t>Travel (75 KM per surveyor/day)</t>
  </si>
  <si>
    <t>Executive Director</t>
  </si>
  <si>
    <t>Senior Grants Manager</t>
  </si>
  <si>
    <t>Post Doc</t>
  </si>
  <si>
    <t>Financial Yr 2</t>
  </si>
  <si>
    <t>Pay scales</t>
  </si>
  <si>
    <t>Designation</t>
  </si>
  <si>
    <t>Rate</t>
  </si>
  <si>
    <t>Hikes</t>
  </si>
  <si>
    <t>Final rate</t>
  </si>
  <si>
    <t>Surveyor</t>
  </si>
  <si>
    <t>half of them get 10% hike</t>
  </si>
  <si>
    <t>Supervisor (surveys)</t>
  </si>
  <si>
    <t>Field manager</t>
  </si>
  <si>
    <t>Monitor/Scrutinizer</t>
  </si>
  <si>
    <t xml:space="preserve">Village mapping/Scouting </t>
  </si>
  <si>
    <t>Aggregate Fieldstaff days/Travel required</t>
  </si>
  <si>
    <t xml:space="preserve">Surveyor days (Village mapping &amp; scouting) </t>
  </si>
  <si>
    <t xml:space="preserve">Supervisor days (Village mapping &amp; scouting ) </t>
  </si>
  <si>
    <t xml:space="preserve">Surveyor days (Recruitment) </t>
  </si>
  <si>
    <t xml:space="preserve">Supervisor days (Recruitment) </t>
  </si>
  <si>
    <t>Total days required (Surveyors)</t>
  </si>
  <si>
    <t>Total days required (Supervisors)</t>
  </si>
  <si>
    <t>Travel (KM) (Surveyors)</t>
  </si>
  <si>
    <t>Travel (KM) (Supervisors)</t>
  </si>
  <si>
    <t>Days required per round/supervisor</t>
  </si>
  <si>
    <t xml:space="preserve">Person required per round/supervisor </t>
  </si>
  <si>
    <t>Travel (75 KM per day/supervisor)</t>
  </si>
  <si>
    <t>Days required per round/per surveyors</t>
  </si>
  <si>
    <t>Travel (30 KM per person/day)</t>
  </si>
  <si>
    <t>Number of supervisors required</t>
  </si>
  <si>
    <t>Number of surveyors required</t>
  </si>
  <si>
    <t>Supervisors for supervising surveys</t>
  </si>
  <si>
    <t>Required</t>
  </si>
  <si>
    <t>Work days per month</t>
  </si>
  <si>
    <t>Total workdays per month</t>
  </si>
  <si>
    <t xml:space="preserve">Total supervisor work days till end of project </t>
  </si>
  <si>
    <t>Total KM (for all rounds)</t>
  </si>
  <si>
    <t xml:space="preserve">Total numer of months (duration of the project) </t>
  </si>
  <si>
    <t>Total surveyor work days</t>
  </si>
  <si>
    <t>Surveyor days (Baseline)</t>
  </si>
  <si>
    <t>Supervisor days  (Baseline)</t>
  </si>
  <si>
    <t>Surveyor days (Endline)</t>
  </si>
  <si>
    <t>Supervisor days  (Endline)</t>
  </si>
  <si>
    <t xml:space="preserve">Village mapping and Scouting </t>
  </si>
  <si>
    <t>Baseline Survey (All Questionarie)</t>
  </si>
  <si>
    <t>Endline Survey (All Questionarie)</t>
  </si>
  <si>
    <t>Survey  supervisor Compensation</t>
  </si>
  <si>
    <t xml:space="preserve">Ongoing Monitoring (Worksite supervisors) </t>
  </si>
  <si>
    <t>No of supervisors required per round</t>
  </si>
  <si>
    <t xml:space="preserve">Total supervisor days </t>
  </si>
  <si>
    <t>Travel (10 km/day/supervisor)</t>
  </si>
  <si>
    <t>Surveyors/worksite supervisor (on going monitoring)</t>
  </si>
  <si>
    <t xml:space="preserve">On-going Monitoring </t>
  </si>
  <si>
    <t>KM travel per day (10KM/Day/Person)</t>
  </si>
  <si>
    <t>per-km</t>
  </si>
  <si>
    <t>Proportion of the project between two years</t>
  </si>
  <si>
    <t>Financial Yr 1</t>
  </si>
  <si>
    <t>Data Quality Assurance Team</t>
  </si>
  <si>
    <t>Project Name:  XYZ</t>
  </si>
  <si>
    <t>SUBTOTAL INDIRECT COSTS (Weiss does not fund)</t>
  </si>
  <si>
    <t>GRAND TOTAL OF EXPENSES</t>
  </si>
  <si>
    <t>Baseline + Endline (Experiment 1)</t>
  </si>
  <si>
    <t>Baseline + Endline (Experiment 2)</t>
  </si>
  <si>
    <t>Sr. Research Associate - Local Origin</t>
  </si>
  <si>
    <t>Research Manager - Local Origin</t>
  </si>
  <si>
    <t xml:space="preserve">Fringe - Staff </t>
  </si>
  <si>
    <t>V.  PROFESSIONAL SERVICES</t>
  </si>
  <si>
    <t>VI. EQUIPMENT</t>
  </si>
  <si>
    <t>SUBTOTAL PROFESSIONAL SERVICES</t>
  </si>
  <si>
    <t>Task 1</t>
  </si>
  <si>
    <t>Task 2</t>
  </si>
  <si>
    <t>Task 3</t>
  </si>
  <si>
    <t>IX. PROJECT IMPLEMENTATION RELATED COSTS</t>
  </si>
  <si>
    <t>in USD</t>
  </si>
  <si>
    <t xml:space="preserve">Task 1 </t>
  </si>
  <si>
    <t>Input costs (per round) (Local currency)</t>
  </si>
  <si>
    <t>X. OTHER DIRECT COSTS</t>
  </si>
  <si>
    <t>XI. OVERHEAD (Weiss does not fund)</t>
  </si>
  <si>
    <t>XII.  SUB AWARD OVERHEAD (Weiss does not fund)</t>
  </si>
  <si>
    <t>Principal PI Salary</t>
  </si>
  <si>
    <t>Co PI Salary</t>
  </si>
  <si>
    <t>Research Salary</t>
  </si>
  <si>
    <t>Post Doc Salary</t>
  </si>
  <si>
    <t>Computer Software</t>
  </si>
  <si>
    <t>Phone credit</t>
  </si>
  <si>
    <t>Per phone</t>
  </si>
  <si>
    <t>Notes/Assumptions</t>
  </si>
  <si>
    <t>In local currency</t>
  </si>
  <si>
    <t>Total Cost in Local Currency</t>
  </si>
  <si>
    <t>Project Duration: 12 months</t>
  </si>
  <si>
    <t>Currency: XYZ</t>
  </si>
  <si>
    <t>Days required per round/per supervisor</t>
  </si>
  <si>
    <t>Note: This is a de-identified budget submitted by an applicant who was awarded a Weiss grant. This budget is meant to be only illustrative, to help applicants understand what type of budget has been well-received by the Weiss committee in the past. The budgets will vary drastically by project. This budget is NOT A TEMPLATE and should not be used as such. Each applicant should develop and submit a unique budget relevant to their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</si>
</sst>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&quot;$&quot;#,##0"/>
    <numFmt numFmtId="166" formatCode="0.000"/>
    <numFmt numFmtId="167" formatCode="0.0%"/>
    <numFmt numFmtId="168" formatCode="0.0000"/>
    <numFmt numFmtId="169" formatCode="_(* #,##0_);_(* \(#,##0\);_(* &quot;-&quot;??_);_(@_)"/>
    <numFmt numFmtId="170" formatCode="_(* #,##0.0_);_(* \(#,##0.0\);_(* &quot;-&quot;_);_(@_)"/>
    <numFmt numFmtId="171" formatCode="_(* #,##0.00_);_(* \(#,##0.00\);_(* &quot;-&quot;_);_(@_)"/>
    <numFmt numFmtId="172" formatCode="_ * #,##0.0_ ;_ * \-#,##0.0_ ;_ * &quot;-&quot;??_ ;_ @_ "/>
    <numFmt numFmtId="173" formatCode="_(&quot;$&quot;* #,##0_);_(&quot;$&quot;* \(#,##0\);_(&quot;$&quot;* &quot;-&quot;??_);_(@_)"/>
  </numFmts>
  <fonts count="35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Wingdings"/>
      <charset val="2"/>
    </font>
    <font>
      <sz val="9"/>
      <name val="Webdings"/>
      <family val="1"/>
      <charset val="2"/>
    </font>
    <font>
      <sz val="12"/>
      <name val="CG Times"/>
      <family val="1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</font>
    <font>
      <u/>
      <sz val="12"/>
      <color theme="11"/>
      <name val="Arial"/>
    </font>
    <font>
      <sz val="12"/>
      <name val="Arial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/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n">
        <color auto="1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6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3" fillId="0" borderId="0" applyFont="0" applyFill="0" applyBorder="0" applyAlignment="0" applyProtection="0"/>
  </cellStyleXfs>
  <cellXfs count="384"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0" fontId="2" fillId="0" borderId="1" xfId="0" applyNumberFormat="1" applyFont="1" applyBorder="1" applyAlignment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3" xfId="0" applyNumberFormat="1" applyFont="1" applyBorder="1" applyAlignment="1" applyProtection="1">
      <protection locked="0"/>
    </xf>
    <xf numFmtId="168" fontId="2" fillId="0" borderId="0" xfId="0" applyNumberFormat="1" applyFont="1" applyAlignment="1" applyProtection="1">
      <alignment horizontal="right"/>
      <protection locked="0"/>
    </xf>
    <xf numFmtId="0" fontId="11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5" xfId="0" applyNumberFormat="1" applyFont="1" applyFill="1" applyBorder="1" applyAlignment="1" applyProtection="1">
      <protection locked="0"/>
    </xf>
    <xf numFmtId="0" fontId="12" fillId="0" borderId="3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6" xfId="0" applyNumberFormat="1" applyFont="1" applyBorder="1" applyAlignment="1" applyProtection="1">
      <protection locked="0"/>
    </xf>
    <xf numFmtId="0" fontId="2" fillId="3" borderId="7" xfId="0" applyNumberFormat="1" applyFont="1" applyFill="1" applyBorder="1" applyAlignment="1" applyProtection="1">
      <protection locked="0"/>
    </xf>
    <xf numFmtId="0" fontId="2" fillId="3" borderId="8" xfId="0" applyNumberFormat="1" applyFont="1" applyFill="1" applyBorder="1" applyAlignment="1" applyProtection="1">
      <protection locked="0"/>
    </xf>
    <xf numFmtId="0" fontId="7" fillId="2" borderId="9" xfId="0" applyNumberFormat="1" applyFont="1" applyFill="1" applyBorder="1" applyAlignment="1" applyProtection="1">
      <protection locked="0"/>
    </xf>
    <xf numFmtId="0" fontId="14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protection locked="0"/>
    </xf>
    <xf numFmtId="0" fontId="11" fillId="2" borderId="10" xfId="0" applyNumberFormat="1" applyFont="1" applyFill="1" applyBorder="1" applyAlignment="1" applyProtection="1">
      <protection locked="0"/>
    </xf>
    <xf numFmtId="0" fontId="2" fillId="2" borderId="11" xfId="0" applyNumberFormat="1" applyFont="1" applyFill="1" applyBorder="1" applyAlignment="1" applyProtection="1">
      <protection locked="0"/>
    </xf>
    <xf numFmtId="0" fontId="11" fillId="0" borderId="0" xfId="0" applyNumberFormat="1" applyFont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2" fillId="3" borderId="12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3" borderId="8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2" fillId="3" borderId="13" xfId="0" applyNumberFormat="1" applyFont="1" applyFill="1" applyBorder="1" applyAlignment="1" applyProtection="1">
      <protection locked="0"/>
    </xf>
    <xf numFmtId="0" fontId="12" fillId="3" borderId="1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3" xfId="0" applyNumberFormat="1" applyFont="1" applyFill="1" applyBorder="1" applyAlignment="1" applyProtection="1">
      <protection locked="0"/>
    </xf>
    <xf numFmtId="0" fontId="13" fillId="3" borderId="13" xfId="0" applyNumberFormat="1" applyFont="1" applyFill="1" applyBorder="1" applyAlignment="1" applyProtection="1">
      <protection locked="0"/>
    </xf>
    <xf numFmtId="0" fontId="13" fillId="3" borderId="1" xfId="0" applyNumberFormat="1" applyFont="1" applyFill="1" applyBorder="1" applyAlignment="1" applyProtection="1">
      <protection locked="0"/>
    </xf>
    <xf numFmtId="0" fontId="15" fillId="0" borderId="0" xfId="0" applyNumberFormat="1" applyFont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>
      <alignment wrapText="1"/>
      <protection locked="0"/>
    </xf>
    <xf numFmtId="165" fontId="16" fillId="0" borderId="0" xfId="0" applyNumberFormat="1" applyFont="1" applyFill="1" applyBorder="1" applyAlignment="1" applyProtection="1">
      <protection locked="0"/>
    </xf>
    <xf numFmtId="0" fontId="2" fillId="3" borderId="5" xfId="0" applyNumberFormat="1" applyFont="1" applyFill="1" applyBorder="1" applyAlignment="1" applyProtection="1">
      <protection locked="0"/>
    </xf>
    <xf numFmtId="0" fontId="2" fillId="3" borderId="4" xfId="0" applyNumberFormat="1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NumberFormat="1" applyFont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7" fillId="2" borderId="10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Alignment="1" applyProtection="1">
      <alignment vertical="top"/>
      <protection locked="0"/>
    </xf>
    <xf numFmtId="0" fontId="14" fillId="0" borderId="13" xfId="0" applyNumberFormat="1" applyFont="1" applyBorder="1" applyAlignment="1" applyProtection="1">
      <protection locked="0"/>
    </xf>
    <xf numFmtId="0" fontId="14" fillId="0" borderId="1" xfId="0" applyNumberFormat="1" applyFont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0" borderId="14" xfId="0" applyNumberFormat="1" applyFont="1" applyBorder="1" applyAlignment="1" applyProtection="1">
      <protection locked="0"/>
    </xf>
    <xf numFmtId="0" fontId="17" fillId="0" borderId="0" xfId="0" applyNumberFormat="1" applyFont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11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protection locked="0"/>
    </xf>
    <xf numFmtId="0" fontId="12" fillId="0" borderId="0" xfId="0" applyNumberFormat="1" applyFont="1" applyAlignment="1" applyProtection="1">
      <protection locked="0"/>
    </xf>
    <xf numFmtId="0" fontId="16" fillId="0" borderId="0" xfId="0" applyNumberFormat="1" applyFont="1" applyAlignment="1" applyProtection="1">
      <protection locked="0"/>
    </xf>
    <xf numFmtId="0" fontId="13" fillId="0" borderId="0" xfId="0" applyNumberFormat="1" applyFont="1" applyAlignment="1" applyProtection="1">
      <protection locked="0"/>
    </xf>
    <xf numFmtId="0" fontId="17" fillId="0" borderId="0" xfId="0" applyNumberFormat="1" applyFont="1" applyAlignment="1" applyProtection="1">
      <alignment horizontal="left" indent="3"/>
      <protection locked="0"/>
    </xf>
    <xf numFmtId="0" fontId="12" fillId="0" borderId="0" xfId="0" applyNumberFormat="1" applyFont="1" applyAlignment="1" applyProtection="1">
      <alignment horizontal="left" indent="1"/>
      <protection locked="0"/>
    </xf>
    <xf numFmtId="0" fontId="12" fillId="0" borderId="0" xfId="0" applyNumberFormat="1" applyFont="1" applyAlignment="1" applyProtection="1">
      <alignment horizontal="justify"/>
      <protection locked="0"/>
    </xf>
    <xf numFmtId="0" fontId="12" fillId="0" borderId="0" xfId="0" applyNumberFormat="1" applyFont="1" applyFill="1" applyAlignment="1" applyProtection="1">
      <alignment horizontal="justify"/>
      <protection locked="0"/>
    </xf>
    <xf numFmtId="0" fontId="13" fillId="0" borderId="0" xfId="0" applyNumberFormat="1" applyFont="1" applyAlignment="1" applyProtection="1">
      <alignment horizontal="justify"/>
      <protection locked="0"/>
    </xf>
    <xf numFmtId="0" fontId="18" fillId="0" borderId="0" xfId="0" applyNumberFormat="1" applyFont="1" applyAlignment="1" applyProtection="1">
      <protection locked="0"/>
    </xf>
    <xf numFmtId="0" fontId="14" fillId="0" borderId="0" xfId="0" applyNumberFormat="1" applyFont="1" applyAlignment="1" applyProtection="1">
      <protection locked="0"/>
    </xf>
    <xf numFmtId="0" fontId="17" fillId="0" borderId="0" xfId="0" applyNumberFormat="1" applyFont="1" applyAlignment="1" applyProtection="1">
      <alignment horizontal="left" indent="2"/>
      <protection locked="0"/>
    </xf>
    <xf numFmtId="165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right"/>
      <protection locked="0"/>
    </xf>
    <xf numFmtId="3" fontId="5" fillId="0" borderId="15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22" fillId="0" borderId="2" xfId="0" applyNumberFormat="1" applyFont="1" applyBorder="1" applyAlignment="1" applyProtection="1">
      <protection locked="0"/>
    </xf>
    <xf numFmtId="167" fontId="22" fillId="0" borderId="0" xfId="0" applyNumberFormat="1" applyFont="1" applyAlignment="1" applyProtection="1">
      <alignment horizontal="right"/>
      <protection locked="0"/>
    </xf>
    <xf numFmtId="0" fontId="6" fillId="0" borderId="19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/>
    <xf numFmtId="0" fontId="5" fillId="0" borderId="1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4" fillId="0" borderId="1" xfId="0" applyNumberFormat="1" applyFont="1" applyBorder="1" applyAlignment="1" applyProtection="1">
      <alignment horizontal="right"/>
      <protection locked="0"/>
    </xf>
    <xf numFmtId="0" fontId="4" fillId="0" borderId="21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protection locked="0"/>
    </xf>
    <xf numFmtId="3" fontId="5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3" xfId="0" applyNumberFormat="1" applyFont="1" applyBorder="1" applyAlignment="1" applyProtection="1">
      <protection locked="0"/>
    </xf>
    <xf numFmtId="9" fontId="5" fillId="0" borderId="0" xfId="8" applyFont="1" applyAlignment="1" applyProtection="1">
      <protection locked="0"/>
    </xf>
    <xf numFmtId="165" fontId="5" fillId="6" borderId="31" xfId="0" applyNumberFormat="1" applyFont="1" applyFill="1" applyBorder="1" applyAlignment="1">
      <alignment horizontal="right"/>
    </xf>
    <xf numFmtId="2" fontId="5" fillId="6" borderId="32" xfId="0" applyNumberFormat="1" applyFont="1" applyFill="1" applyBorder="1" applyAlignment="1">
      <alignment horizontal="right"/>
    </xf>
    <xf numFmtId="165" fontId="6" fillId="6" borderId="33" xfId="0" applyNumberFormat="1" applyFont="1" applyFill="1" applyBorder="1" applyAlignment="1">
      <alignment horizontal="right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167" fontId="23" fillId="0" borderId="23" xfId="0" applyNumberFormat="1" applyFont="1" applyBorder="1" applyAlignment="1" applyProtection="1">
      <alignment horizontal="right"/>
      <protection locked="0"/>
    </xf>
    <xf numFmtId="0" fontId="2" fillId="7" borderId="8" xfId="0" applyNumberFormat="1" applyFont="1" applyFill="1" applyBorder="1" applyAlignment="1" applyProtection="1">
      <protection locked="0"/>
    </xf>
    <xf numFmtId="0" fontId="9" fillId="0" borderId="3" xfId="0" applyNumberFormat="1" applyFont="1" applyBorder="1" applyAlignment="1" applyProtection="1">
      <protection locked="0"/>
    </xf>
    <xf numFmtId="0" fontId="9" fillId="0" borderId="0" xfId="0" applyNumberFormat="1" applyFont="1" applyBorder="1" applyAlignment="1" applyProtection="1">
      <protection locked="0"/>
    </xf>
    <xf numFmtId="0" fontId="25" fillId="0" borderId="0" xfId="0" applyFont="1" applyFill="1" applyBorder="1" applyAlignment="1">
      <alignment horizontal="left"/>
    </xf>
    <xf numFmtId="0" fontId="8" fillId="2" borderId="36" xfId="0" applyNumberFormat="1" applyFont="1" applyFill="1" applyBorder="1" applyAlignment="1" applyProtection="1">
      <protection locked="0"/>
    </xf>
    <xf numFmtId="0" fontId="2" fillId="0" borderId="37" xfId="0" applyNumberFormat="1" applyFont="1" applyBorder="1" applyAlignment="1" applyProtection="1">
      <protection locked="0"/>
    </xf>
    <xf numFmtId="3" fontId="2" fillId="0" borderId="37" xfId="0" applyNumberFormat="1" applyFont="1" applyBorder="1" applyAlignment="1" applyProtection="1">
      <protection locked="0"/>
    </xf>
    <xf numFmtId="0" fontId="7" fillId="0" borderId="37" xfId="0" applyNumberFormat="1" applyFont="1" applyBorder="1" applyAlignment="1" applyProtection="1">
      <protection locked="0"/>
    </xf>
    <xf numFmtId="3" fontId="19" fillId="0" borderId="37" xfId="0" applyNumberFormat="1" applyFont="1" applyBorder="1" applyAlignment="1" applyProtection="1">
      <protection locked="0"/>
    </xf>
    <xf numFmtId="0" fontId="21" fillId="0" borderId="38" xfId="0" applyNumberFormat="1" applyFont="1" applyBorder="1" applyAlignment="1" applyProtection="1">
      <alignment horizontal="center"/>
      <protection locked="0"/>
    </xf>
    <xf numFmtId="0" fontId="21" fillId="0" borderId="39" xfId="0" applyNumberFormat="1" applyFont="1" applyBorder="1" applyAlignment="1" applyProtection="1">
      <alignment horizontal="center"/>
      <protection locked="0"/>
    </xf>
    <xf numFmtId="0" fontId="21" fillId="0" borderId="40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protection locked="0"/>
    </xf>
    <xf numFmtId="3" fontId="7" fillId="0" borderId="42" xfId="0" applyNumberFormat="1" applyFont="1" applyBorder="1" applyAlignment="1" applyProtection="1">
      <protection locked="0"/>
    </xf>
    <xf numFmtId="3" fontId="21" fillId="0" borderId="42" xfId="0" applyNumberFormat="1" applyFont="1" applyBorder="1" applyAlignment="1" applyProtection="1">
      <protection locked="0"/>
    </xf>
    <xf numFmtId="0" fontId="2" fillId="0" borderId="43" xfId="0" applyNumberFormat="1" applyFont="1" applyBorder="1" applyAlignment="1" applyProtection="1">
      <protection locked="0"/>
    </xf>
    <xf numFmtId="0" fontId="7" fillId="0" borderId="44" xfId="0" applyNumberFormat="1" applyFont="1" applyBorder="1" applyAlignment="1" applyProtection="1">
      <protection locked="0"/>
    </xf>
    <xf numFmtId="3" fontId="19" fillId="0" borderId="44" xfId="0" applyNumberFormat="1" applyFont="1" applyBorder="1" applyAlignment="1" applyProtection="1">
      <protection locked="0"/>
    </xf>
    <xf numFmtId="3" fontId="21" fillId="0" borderId="45" xfId="0" applyNumberFormat="1" applyFont="1" applyBorder="1" applyAlignment="1" applyProtection="1">
      <protection locked="0"/>
    </xf>
    <xf numFmtId="41" fontId="19" fillId="0" borderId="0" xfId="0" applyNumberFormat="1" applyFont="1" applyFill="1" applyAlignment="1"/>
    <xf numFmtId="41" fontId="19" fillId="0" borderId="0" xfId="0" applyNumberFormat="1" applyFont="1" applyFill="1" applyAlignment="1">
      <alignment horizontal="right"/>
    </xf>
    <xf numFmtId="0" fontId="2" fillId="0" borderId="48" xfId="0" applyNumberFormat="1" applyFont="1" applyBorder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2" fillId="0" borderId="8" xfId="0" applyNumberFormat="1" applyFont="1" applyBorder="1" applyAlignment="1" applyProtection="1"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protection locked="0"/>
    </xf>
    <xf numFmtId="37" fontId="7" fillId="0" borderId="0" xfId="0" applyNumberFormat="1" applyFont="1" applyAlignment="1" applyProtection="1">
      <protection locked="0"/>
    </xf>
    <xf numFmtId="2" fontId="2" fillId="0" borderId="0" xfId="0" applyNumberFormat="1" applyFont="1" applyAlignment="1" applyProtection="1">
      <protection locked="0"/>
    </xf>
    <xf numFmtId="2" fontId="7" fillId="0" borderId="0" xfId="0" applyNumberFormat="1" applyFont="1" applyAlignment="1" applyProtection="1">
      <protection locked="0"/>
    </xf>
    <xf numFmtId="2" fontId="2" fillId="0" borderId="8" xfId="0" applyNumberFormat="1" applyFont="1" applyBorder="1" applyAlignment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protection locked="0"/>
    </xf>
    <xf numFmtId="0" fontId="19" fillId="0" borderId="0" xfId="0" applyFont="1" applyFill="1" applyAlignment="1"/>
    <xf numFmtId="3" fontId="19" fillId="0" borderId="0" xfId="0" applyNumberFormat="1" applyFont="1" applyFill="1" applyAlignment="1"/>
    <xf numFmtId="0" fontId="19" fillId="0" borderId="0" xfId="0" applyFont="1" applyFill="1" applyAlignment="1">
      <alignment horizontal="left"/>
    </xf>
    <xf numFmtId="41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19" fillId="0" borderId="17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/>
    </xf>
    <xf numFmtId="0" fontId="20" fillId="0" borderId="46" xfId="0" applyFont="1" applyFill="1" applyBorder="1" applyAlignment="1">
      <alignment horizontal="right"/>
    </xf>
    <xf numFmtId="0" fontId="7" fillId="0" borderId="0" xfId="0" applyNumberFormat="1" applyFont="1" applyAlignment="1" applyProtection="1">
      <alignment horizontal="center"/>
      <protection locked="0"/>
    </xf>
    <xf numFmtId="0" fontId="1" fillId="8" borderId="0" xfId="0" applyNumberFormat="1" applyFont="1" applyFill="1" applyAlignment="1" applyProtection="1">
      <alignment vertical="center"/>
      <protection locked="0"/>
    </xf>
    <xf numFmtId="0" fontId="1" fillId="9" borderId="0" xfId="0" applyNumberFormat="1" applyFont="1" applyFill="1" applyAlignment="1" applyProtection="1">
      <alignment horizontal="center" vertical="center"/>
      <protection locked="0"/>
    </xf>
    <xf numFmtId="0" fontId="1" fillId="9" borderId="0" xfId="0" applyNumberFormat="1" applyFont="1" applyFill="1" applyAlignment="1" applyProtection="1">
      <alignment vertical="center"/>
      <protection locked="0"/>
    </xf>
    <xf numFmtId="0" fontId="2" fillId="0" borderId="7" xfId="0" applyNumberFormat="1" applyFont="1" applyBorder="1" applyAlignment="1" applyProtection="1">
      <protection locked="0"/>
    </xf>
    <xf numFmtId="0" fontId="2" fillId="0" borderId="48" xfId="0" applyNumberFormat="1" applyFont="1" applyFill="1" applyBorder="1" applyAlignment="1" applyProtection="1">
      <protection locked="0"/>
    </xf>
    <xf numFmtId="3" fontId="1" fillId="0" borderId="0" xfId="0" applyNumberFormat="1" applyFont="1" applyAlignment="1" applyProtection="1">
      <protection locked="0"/>
    </xf>
    <xf numFmtId="0" fontId="19" fillId="10" borderId="17" xfId="0" applyFont="1" applyFill="1" applyBorder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1" fontId="19" fillId="0" borderId="0" xfId="0" applyNumberFormat="1" applyFont="1" applyFill="1" applyAlignment="1"/>
    <xf numFmtId="165" fontId="19" fillId="0" borderId="0" xfId="0" applyNumberFormat="1" applyFont="1" applyFill="1" applyAlignment="1"/>
    <xf numFmtId="9" fontId="19" fillId="0" borderId="0" xfId="8" applyFont="1" applyFill="1" applyAlignment="1"/>
    <xf numFmtId="0" fontId="19" fillId="0" borderId="0" xfId="0" applyNumberFormat="1" applyFont="1" applyFill="1" applyAlignment="1"/>
    <xf numFmtId="166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4" fontId="19" fillId="0" borderId="0" xfId="0" applyNumberFormat="1" applyFont="1" applyFill="1" applyAlignment="1">
      <alignment horizontal="right"/>
    </xf>
    <xf numFmtId="171" fontId="19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/>
    <xf numFmtId="0" fontId="21" fillId="0" borderId="32" xfId="0" applyNumberFormat="1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165" fontId="21" fillId="0" borderId="25" xfId="0" applyNumberFormat="1" applyFont="1" applyFill="1" applyBorder="1" applyAlignment="1" applyProtection="1">
      <alignment horizontal="center" wrapText="1"/>
      <protection locked="0"/>
    </xf>
    <xf numFmtId="0" fontId="21" fillId="0" borderId="17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1" fontId="21" fillId="0" borderId="49" xfId="0" applyNumberFormat="1" applyFont="1" applyFill="1" applyBorder="1" applyAlignment="1">
      <alignment horizontal="center" wrapText="1"/>
    </xf>
    <xf numFmtId="0" fontId="19" fillId="0" borderId="23" xfId="0" applyNumberFormat="1" applyFont="1" applyFill="1" applyBorder="1" applyAlignment="1" applyProtection="1">
      <alignment horizontal="center" wrapText="1"/>
      <protection locked="0"/>
    </xf>
    <xf numFmtId="165" fontId="21" fillId="0" borderId="19" xfId="0" applyNumberFormat="1" applyFont="1" applyFill="1" applyBorder="1" applyAlignment="1" applyProtection="1">
      <alignment wrapText="1"/>
      <protection locked="0"/>
    </xf>
    <xf numFmtId="3" fontId="21" fillId="0" borderId="32" xfId="0" applyNumberFormat="1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wrapText="1"/>
    </xf>
    <xf numFmtId="41" fontId="21" fillId="0" borderId="50" xfId="0" applyNumberFormat="1" applyFont="1" applyFill="1" applyBorder="1" applyAlignment="1">
      <alignment horizontal="center" wrapText="1"/>
    </xf>
    <xf numFmtId="1" fontId="21" fillId="0" borderId="33" xfId="0" applyNumberFormat="1" applyFont="1" applyFill="1" applyBorder="1" applyAlignment="1">
      <alignment horizontal="center" wrapText="1"/>
    </xf>
    <xf numFmtId="165" fontId="21" fillId="0" borderId="30" xfId="0" applyNumberFormat="1" applyFont="1" applyFill="1" applyBorder="1" applyAlignment="1" applyProtection="1">
      <alignment horizontal="center" wrapText="1"/>
      <protection locked="0"/>
    </xf>
    <xf numFmtId="0" fontId="19" fillId="0" borderId="2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1" fillId="0" borderId="26" xfId="0" applyNumberFormat="1" applyFont="1" applyFill="1" applyBorder="1" applyAlignment="1">
      <alignment horizontal="right"/>
    </xf>
    <xf numFmtId="1" fontId="21" fillId="0" borderId="17" xfId="0" applyNumberFormat="1" applyFont="1" applyFill="1" applyBorder="1" applyAlignment="1">
      <alignment horizontal="right"/>
    </xf>
    <xf numFmtId="41" fontId="21" fillId="0" borderId="49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center"/>
    </xf>
    <xf numFmtId="9" fontId="21" fillId="0" borderId="0" xfId="8" applyFont="1" applyFill="1" applyAlignment="1"/>
    <xf numFmtId="0" fontId="21" fillId="0" borderId="0" xfId="0" applyNumberFormat="1" applyFont="1" applyFill="1" applyAlignment="1"/>
    <xf numFmtId="0" fontId="19" fillId="0" borderId="22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wrapText="1"/>
    </xf>
    <xf numFmtId="3" fontId="19" fillId="0" borderId="0" xfId="0" applyNumberFormat="1" applyFont="1" applyFill="1" applyAlignment="1" applyProtection="1">
      <alignment horizontal="right"/>
      <protection locked="0"/>
    </xf>
    <xf numFmtId="41" fontId="19" fillId="0" borderId="17" xfId="0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Border="1" applyAlignment="1" applyProtection="1">
      <alignment horizontal="right"/>
    </xf>
    <xf numFmtId="41" fontId="19" fillId="0" borderId="15" xfId="0" applyNumberFormat="1" applyFont="1" applyFill="1" applyBorder="1" applyAlignment="1" applyProtection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17" xfId="0" applyNumberFormat="1" applyFont="1" applyFill="1" applyBorder="1" applyAlignment="1">
      <alignment horizontal="right"/>
    </xf>
    <xf numFmtId="41" fontId="19" fillId="0" borderId="49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9" fontId="19" fillId="0" borderId="0" xfId="0" applyNumberFormat="1" applyFont="1" applyFill="1" applyAlignment="1"/>
    <xf numFmtId="3" fontId="19" fillId="0" borderId="0" xfId="0" applyNumberFormat="1" applyFont="1" applyFill="1" applyBorder="1" applyAlignment="1" applyProtection="1">
      <alignment horizontal="right"/>
      <protection locked="0"/>
    </xf>
    <xf numFmtId="41" fontId="19" fillId="0" borderId="22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/>
    </xf>
    <xf numFmtId="41" fontId="20" fillId="0" borderId="17" xfId="0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41" fontId="20" fillId="0" borderId="15" xfId="0" applyNumberFormat="1" applyFont="1" applyFill="1" applyBorder="1" applyAlignment="1">
      <alignment horizontal="right"/>
    </xf>
    <xf numFmtId="41" fontId="20" fillId="0" borderId="49" xfId="0" applyNumberFormat="1" applyFont="1" applyFill="1" applyBorder="1" applyAlignment="1">
      <alignment horizontal="right"/>
    </xf>
    <xf numFmtId="9" fontId="20" fillId="0" borderId="0" xfId="8" applyFont="1" applyFill="1" applyAlignment="1"/>
    <xf numFmtId="0" fontId="20" fillId="0" borderId="0" xfId="0" applyNumberFormat="1" applyFont="1" applyFill="1" applyAlignment="1"/>
    <xf numFmtId="3" fontId="19" fillId="0" borderId="0" xfId="0" applyNumberFormat="1" applyFont="1" applyFill="1" applyBorder="1" applyAlignment="1">
      <alignment horizontal="right"/>
    </xf>
    <xf numFmtId="41" fontId="19" fillId="0" borderId="15" xfId="0" applyNumberFormat="1" applyFont="1" applyFill="1" applyBorder="1" applyAlignment="1">
      <alignment horizontal="right"/>
    </xf>
    <xf numFmtId="0" fontId="29" fillId="0" borderId="17" xfId="0" applyFont="1" applyFill="1" applyBorder="1" applyAlignment="1">
      <alignment horizontal="left" wrapText="1"/>
    </xf>
    <xf numFmtId="170" fontId="19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1" fontId="19" fillId="0" borderId="0" xfId="0" applyNumberFormat="1" applyFont="1" applyFill="1" applyBorder="1" applyAlignment="1">
      <alignment horizontal="right"/>
    </xf>
    <xf numFmtId="171" fontId="19" fillId="0" borderId="49" xfId="0" applyNumberFormat="1" applyFont="1" applyFill="1" applyBorder="1" applyAlignment="1">
      <alignment horizontal="right"/>
    </xf>
    <xf numFmtId="9" fontId="19" fillId="0" borderId="22" xfId="0" applyNumberFormat="1" applyFont="1" applyFill="1" applyBorder="1" applyAlignment="1">
      <alignment horizontal="center"/>
    </xf>
    <xf numFmtId="169" fontId="20" fillId="0" borderId="0" xfId="1" applyNumberFormat="1" applyFont="1" applyFill="1" applyAlignment="1"/>
    <xf numFmtId="41" fontId="21" fillId="0" borderId="17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15" xfId="0" applyNumberFormat="1" applyFont="1" applyFill="1" applyBorder="1" applyAlignment="1">
      <alignment horizontal="right"/>
    </xf>
    <xf numFmtId="9" fontId="19" fillId="0" borderId="0" xfId="8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41" fontId="19" fillId="0" borderId="16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wrapText="1"/>
    </xf>
    <xf numFmtId="0" fontId="30" fillId="0" borderId="0" xfId="6" applyFont="1" applyFill="1" applyAlignment="1">
      <alignment wrapText="1"/>
    </xf>
    <xf numFmtId="3" fontId="19" fillId="0" borderId="15" xfId="0" applyNumberFormat="1" applyFont="1" applyFill="1" applyBorder="1" applyAlignment="1">
      <alignment horizontal="right"/>
    </xf>
    <xf numFmtId="0" fontId="30" fillId="10" borderId="0" xfId="6" applyFont="1" applyFill="1" applyAlignment="1">
      <alignment wrapText="1"/>
    </xf>
    <xf numFmtId="3" fontId="19" fillId="10" borderId="15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0" fontId="19" fillId="0" borderId="24" xfId="0" applyNumberFormat="1" applyFont="1" applyFill="1" applyBorder="1" applyAlignment="1">
      <alignment horizontal="center"/>
    </xf>
    <xf numFmtId="0" fontId="20" fillId="0" borderId="46" xfId="0" applyFont="1" applyFill="1" applyBorder="1" applyAlignment="1">
      <alignment horizontal="right" wrapText="1"/>
    </xf>
    <xf numFmtId="3" fontId="20" fillId="0" borderId="32" xfId="0" applyNumberFormat="1" applyFont="1" applyFill="1" applyBorder="1" applyAlignment="1">
      <alignment horizontal="right"/>
    </xf>
    <xf numFmtId="41" fontId="20" fillId="0" borderId="46" xfId="0" applyNumberFormat="1" applyFont="1" applyFill="1" applyBorder="1" applyAlignment="1">
      <alignment horizontal="right"/>
    </xf>
    <xf numFmtId="41" fontId="20" fillId="0" borderId="32" xfId="0" applyNumberFormat="1" applyFont="1" applyFill="1" applyBorder="1" applyAlignment="1">
      <alignment horizontal="right"/>
    </xf>
    <xf numFmtId="41" fontId="20" fillId="0" borderId="51" xfId="0" applyNumberFormat="1" applyFont="1" applyFill="1" applyBorder="1" applyAlignment="1">
      <alignment horizontal="right"/>
    </xf>
    <xf numFmtId="41" fontId="19" fillId="0" borderId="50" xfId="0" applyNumberFormat="1" applyFont="1" applyFill="1" applyBorder="1" applyAlignment="1">
      <alignment horizontal="right"/>
    </xf>
    <xf numFmtId="41" fontId="19" fillId="0" borderId="32" xfId="0" applyNumberFormat="1" applyFont="1" applyFill="1" applyBorder="1" applyAlignment="1">
      <alignment horizontal="right"/>
    </xf>
    <xf numFmtId="41" fontId="19" fillId="0" borderId="3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/>
    <xf numFmtId="0" fontId="21" fillId="0" borderId="22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/>
    <xf numFmtId="41" fontId="20" fillId="0" borderId="19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41" fontId="21" fillId="0" borderId="7" xfId="0" applyNumberFormat="1" applyFont="1" applyFill="1" applyBorder="1" applyAlignment="1">
      <alignment horizontal="right"/>
    </xf>
    <xf numFmtId="41" fontId="21" fillId="0" borderId="52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left" wrapText="1"/>
    </xf>
    <xf numFmtId="41" fontId="29" fillId="0" borderId="0" xfId="0" applyNumberFormat="1" applyFont="1" applyFill="1" applyBorder="1" applyAlignment="1">
      <alignment horizontal="right"/>
    </xf>
    <xf numFmtId="41" fontId="29" fillId="0" borderId="17" xfId="0" applyNumberFormat="1" applyFont="1" applyFill="1" applyBorder="1" applyAlignment="1">
      <alignment horizontal="right"/>
    </xf>
    <xf numFmtId="41" fontId="29" fillId="0" borderId="49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wrapText="1"/>
    </xf>
    <xf numFmtId="41" fontId="21" fillId="0" borderId="1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41" fontId="19" fillId="0" borderId="51" xfId="0" applyNumberFormat="1" applyFont="1" applyFill="1" applyBorder="1" applyAlignment="1">
      <alignment horizontal="right"/>
    </xf>
    <xf numFmtId="0" fontId="19" fillId="0" borderId="54" xfId="0" applyNumberFormat="1" applyFont="1" applyFill="1" applyBorder="1" applyAlignment="1">
      <alignment horizontal="center"/>
    </xf>
    <xf numFmtId="0" fontId="21" fillId="0" borderId="47" xfId="0" applyFont="1" applyFill="1" applyBorder="1" applyAlignment="1">
      <alignment horizontal="left" wrapText="1"/>
    </xf>
    <xf numFmtId="0" fontId="21" fillId="0" borderId="47" xfId="0" applyFont="1" applyFill="1" applyBorder="1" applyAlignment="1">
      <alignment horizontal="right"/>
    </xf>
    <xf numFmtId="41" fontId="21" fillId="0" borderId="20" xfId="0" applyNumberFormat="1" applyFont="1" applyFill="1" applyBorder="1" applyAlignment="1">
      <alignment horizontal="right"/>
    </xf>
    <xf numFmtId="41" fontId="21" fillId="0" borderId="47" xfId="0" applyNumberFormat="1" applyFont="1" applyFill="1" applyBorder="1" applyAlignment="1">
      <alignment horizontal="right"/>
    </xf>
    <xf numFmtId="41" fontId="21" fillId="0" borderId="26" xfId="0" applyNumberFormat="1" applyFont="1" applyFill="1" applyBorder="1" applyAlignment="1">
      <alignment horizontal="right"/>
    </xf>
    <xf numFmtId="41" fontId="19" fillId="0" borderId="55" xfId="0" applyNumberFormat="1" applyFont="1" applyFill="1" applyBorder="1" applyAlignment="1">
      <alignment horizontal="right"/>
    </xf>
    <xf numFmtId="41" fontId="19" fillId="0" borderId="20" xfId="0" applyNumberFormat="1" applyFont="1" applyFill="1" applyBorder="1" applyAlignment="1">
      <alignment horizontal="right"/>
    </xf>
    <xf numFmtId="41" fontId="19" fillId="0" borderId="25" xfId="0" applyNumberFormat="1" applyFont="1" applyFill="1" applyBorder="1" applyAlignment="1">
      <alignment horizontal="right"/>
    </xf>
    <xf numFmtId="0" fontId="19" fillId="0" borderId="57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 horizontal="left" wrapText="1"/>
    </xf>
    <xf numFmtId="0" fontId="19" fillId="0" borderId="46" xfId="0" applyFont="1" applyFill="1" applyBorder="1" applyAlignment="1">
      <alignment horizontal="right"/>
    </xf>
    <xf numFmtId="41" fontId="19" fillId="0" borderId="46" xfId="0" applyNumberFormat="1" applyFont="1" applyFill="1" applyBorder="1" applyAlignment="1">
      <alignment horizontal="right"/>
    </xf>
    <xf numFmtId="41" fontId="20" fillId="0" borderId="30" xfId="0" applyNumberFormat="1" applyFont="1" applyFill="1" applyBorder="1" applyAlignment="1">
      <alignment horizontal="right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left" wrapText="1"/>
    </xf>
    <xf numFmtId="165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 applyProtection="1">
      <protection locked="0"/>
    </xf>
    <xf numFmtId="0" fontId="21" fillId="0" borderId="7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19" xfId="0" applyNumberFormat="1" applyFont="1" applyFill="1" applyBorder="1" applyAlignment="1">
      <alignment horizontal="left"/>
    </xf>
    <xf numFmtId="165" fontId="21" fillId="0" borderId="19" xfId="0" applyNumberFormat="1" applyFont="1" applyFill="1" applyBorder="1" applyAlignment="1">
      <alignment horizontal="right"/>
    </xf>
    <xf numFmtId="41" fontId="19" fillId="0" borderId="19" xfId="0" applyNumberFormat="1" applyFont="1" applyFill="1" applyBorder="1" applyAlignment="1">
      <alignment horizontal="right"/>
    </xf>
    <xf numFmtId="41" fontId="21" fillId="0" borderId="53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173" fontId="6" fillId="0" borderId="16" xfId="15" applyNumberFormat="1" applyFont="1" applyFill="1" applyBorder="1" applyAlignment="1">
      <alignment horizontal="right"/>
    </xf>
    <xf numFmtId="173" fontId="6" fillId="0" borderId="0" xfId="15" applyNumberFormat="1" applyFont="1" applyFill="1" applyBorder="1" applyAlignment="1">
      <alignment horizontal="right"/>
    </xf>
    <xf numFmtId="173" fontId="5" fillId="0" borderId="16" xfId="15" applyNumberFormat="1" applyFont="1" applyFill="1" applyBorder="1" applyAlignment="1">
      <alignment horizontal="right"/>
    </xf>
    <xf numFmtId="173" fontId="5" fillId="0" borderId="0" xfId="15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173" fontId="3" fillId="0" borderId="16" xfId="15" applyNumberFormat="1" applyFont="1" applyFill="1" applyBorder="1" applyAlignment="1">
      <alignment horizontal="right"/>
    </xf>
    <xf numFmtId="173" fontId="3" fillId="0" borderId="34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/>
    <xf numFmtId="0" fontId="6" fillId="4" borderId="19" xfId="0" applyNumberFormat="1" applyFont="1" applyFill="1" applyBorder="1" applyAlignment="1">
      <alignment horizontal="left"/>
    </xf>
    <xf numFmtId="173" fontId="3" fillId="4" borderId="16" xfId="15" applyNumberFormat="1" applyFont="1" applyFill="1" applyBorder="1" applyAlignment="1">
      <alignment horizontal="right"/>
    </xf>
    <xf numFmtId="0" fontId="3" fillId="5" borderId="19" xfId="0" applyNumberFormat="1" applyFont="1" applyFill="1" applyBorder="1" applyAlignment="1">
      <alignment horizontal="left"/>
    </xf>
    <xf numFmtId="3" fontId="3" fillId="5" borderId="1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3" fillId="5" borderId="3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6" fillId="4" borderId="19" xfId="0" applyFont="1" applyFill="1" applyBorder="1" applyAlignment="1">
      <alignment horizontal="left"/>
    </xf>
    <xf numFmtId="3" fontId="3" fillId="4" borderId="16" xfId="0" applyNumberFormat="1" applyFont="1" applyFill="1" applyBorder="1" applyAlignment="1">
      <alignment horizontal="right"/>
    </xf>
    <xf numFmtId="3" fontId="3" fillId="4" borderId="18" xfId="0" applyNumberFormat="1" applyFont="1" applyFill="1" applyBorder="1" applyAlignment="1">
      <alignment horizontal="right"/>
    </xf>
    <xf numFmtId="3" fontId="3" fillId="4" borderId="23" xfId="0" applyNumberFormat="1" applyFont="1" applyFill="1" applyBorder="1" applyAlignment="1">
      <alignment horizontal="right"/>
    </xf>
    <xf numFmtId="0" fontId="3" fillId="3" borderId="25" xfId="0" applyNumberFormat="1" applyFont="1" applyFill="1" applyBorder="1" applyAlignment="1">
      <alignment horizontal="left"/>
    </xf>
    <xf numFmtId="3" fontId="3" fillId="3" borderId="26" xfId="0" applyNumberFormat="1" applyFont="1" applyFill="1" applyBorder="1" applyAlignment="1"/>
    <xf numFmtId="3" fontId="3" fillId="3" borderId="29" xfId="0" applyNumberFormat="1" applyFont="1" applyFill="1" applyBorder="1" applyAlignment="1">
      <alignment horizontal="right"/>
    </xf>
    <xf numFmtId="0" fontId="6" fillId="3" borderId="19" xfId="0" applyNumberFormat="1" applyFont="1" applyFill="1" applyBorder="1" applyAlignment="1">
      <alignment horizontal="left"/>
    </xf>
    <xf numFmtId="173" fontId="3" fillId="3" borderId="15" xfId="15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/>
    </xf>
    <xf numFmtId="0" fontId="3" fillId="6" borderId="30" xfId="0" applyNumberFormat="1" applyFont="1" applyFill="1" applyBorder="1" applyAlignment="1">
      <alignment horizontal="left"/>
    </xf>
    <xf numFmtId="0" fontId="19" fillId="9" borderId="22" xfId="0" applyNumberFormat="1" applyFont="1" applyFill="1" applyBorder="1" applyAlignment="1">
      <alignment horizontal="center"/>
    </xf>
    <xf numFmtId="0" fontId="20" fillId="9" borderId="17" xfId="0" applyFont="1" applyFill="1" applyBorder="1" applyAlignment="1">
      <alignment horizontal="right" wrapText="1"/>
    </xf>
    <xf numFmtId="0" fontId="20" fillId="9" borderId="17" xfId="0" applyFont="1" applyFill="1" applyBorder="1" applyAlignment="1">
      <alignment horizontal="right"/>
    </xf>
    <xf numFmtId="3" fontId="20" fillId="9" borderId="0" xfId="0" applyNumberFormat="1" applyFont="1" applyFill="1" applyBorder="1" applyAlignment="1">
      <alignment horizontal="right"/>
    </xf>
    <xf numFmtId="41" fontId="20" fillId="9" borderId="17" xfId="0" applyNumberFormat="1" applyFont="1" applyFill="1" applyBorder="1" applyAlignment="1">
      <alignment horizontal="right"/>
    </xf>
    <xf numFmtId="41" fontId="20" fillId="9" borderId="0" xfId="0" applyNumberFormat="1" applyFont="1" applyFill="1" applyBorder="1" applyAlignment="1">
      <alignment horizontal="right"/>
    </xf>
    <xf numFmtId="41" fontId="20" fillId="9" borderId="16" xfId="0" applyNumberFormat="1" applyFont="1" applyFill="1" applyBorder="1" applyAlignment="1">
      <alignment horizontal="right"/>
    </xf>
    <xf numFmtId="41" fontId="20" fillId="9" borderId="49" xfId="0" applyNumberFormat="1" applyFont="1" applyFill="1" applyBorder="1" applyAlignment="1">
      <alignment horizontal="right"/>
    </xf>
    <xf numFmtId="41" fontId="20" fillId="9" borderId="19" xfId="0" applyNumberFormat="1" applyFont="1" applyFill="1" applyBorder="1" applyAlignment="1">
      <alignment horizontal="right"/>
    </xf>
    <xf numFmtId="3" fontId="19" fillId="9" borderId="0" xfId="0" applyNumberFormat="1" applyFont="1" applyFill="1" applyBorder="1" applyAlignment="1"/>
    <xf numFmtId="9" fontId="21" fillId="9" borderId="0" xfId="8" applyFont="1" applyFill="1" applyAlignment="1"/>
    <xf numFmtId="9" fontId="20" fillId="9" borderId="0" xfId="8" applyFont="1" applyFill="1" applyAlignment="1"/>
    <xf numFmtId="0" fontId="20" fillId="9" borderId="0" xfId="0" applyNumberFormat="1" applyFont="1" applyFill="1" applyAlignment="1"/>
    <xf numFmtId="9" fontId="19" fillId="9" borderId="0" xfId="0" applyNumberFormat="1" applyFont="1" applyFill="1" applyAlignment="1"/>
    <xf numFmtId="169" fontId="21" fillId="9" borderId="0" xfId="1" applyNumberFormat="1" applyFont="1" applyFill="1" applyAlignment="1"/>
    <xf numFmtId="0" fontId="19" fillId="9" borderId="0" xfId="0" applyNumberFormat="1" applyFont="1" applyFill="1" applyAlignment="1"/>
    <xf numFmtId="9" fontId="19" fillId="9" borderId="0" xfId="8" applyFont="1" applyFill="1" applyAlignment="1"/>
    <xf numFmtId="169" fontId="20" fillId="9" borderId="0" xfId="1" applyNumberFormat="1" applyFont="1" applyFill="1" applyAlignment="1"/>
    <xf numFmtId="41" fontId="19" fillId="9" borderId="19" xfId="0" applyNumberFormat="1" applyFont="1" applyFill="1" applyBorder="1" applyAlignment="1">
      <alignment horizontal="right"/>
    </xf>
    <xf numFmtId="10" fontId="19" fillId="9" borderId="0" xfId="0" applyNumberFormat="1" applyFont="1" applyFill="1" applyAlignment="1"/>
    <xf numFmtId="0" fontId="19" fillId="9" borderId="56" xfId="0" applyNumberFormat="1" applyFont="1" applyFill="1" applyBorder="1" applyAlignment="1">
      <alignment horizontal="center"/>
    </xf>
    <xf numFmtId="0" fontId="20" fillId="9" borderId="17" xfId="0" applyFont="1" applyFill="1" applyBorder="1" applyAlignment="1">
      <alignment horizontal="left" wrapText="1"/>
    </xf>
    <xf numFmtId="41" fontId="21" fillId="9" borderId="19" xfId="0" applyNumberFormat="1" applyFont="1" applyFill="1" applyBorder="1" applyAlignment="1">
      <alignment horizontal="right"/>
    </xf>
    <xf numFmtId="0" fontId="5" fillId="7" borderId="0" xfId="0" applyNumberFormat="1" applyFont="1" applyFill="1" applyAlignment="1" applyProtection="1">
      <alignment horizontal="left" vertical="top" wrapText="1"/>
      <protection locked="0"/>
    </xf>
    <xf numFmtId="165" fontId="3" fillId="0" borderId="58" xfId="0" applyNumberFormat="1" applyFont="1" applyFill="1" applyBorder="1" applyAlignment="1">
      <alignment horizontal="center"/>
    </xf>
    <xf numFmtId="165" fontId="3" fillId="0" borderId="59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165" fontId="3" fillId="0" borderId="54" xfId="0" applyNumberFormat="1" applyFont="1" applyFill="1" applyBorder="1" applyAlignment="1">
      <alignment horizontal="center"/>
    </xf>
    <xf numFmtId="165" fontId="3" fillId="0" borderId="5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1" fontId="21" fillId="0" borderId="17" xfId="0" applyNumberFormat="1" applyFont="1" applyFill="1" applyBorder="1" applyAlignment="1">
      <alignment horizontal="center" vertical="center" wrapText="1"/>
    </xf>
    <xf numFmtId="41" fontId="21" fillId="0" borderId="46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wrapText="1"/>
    </xf>
    <xf numFmtId="0" fontId="21" fillId="0" borderId="20" xfId="0" applyNumberFormat="1" applyFont="1" applyFill="1" applyBorder="1" applyAlignment="1">
      <alignment horizontal="center" wrapText="1"/>
    </xf>
    <xf numFmtId="0" fontId="21" fillId="0" borderId="7" xfId="0" applyNumberFormat="1" applyFont="1" applyFill="1" applyBorder="1" applyAlignment="1">
      <alignment horizontal="center" wrapText="1"/>
    </xf>
    <xf numFmtId="0" fontId="21" fillId="0" borderId="52" xfId="0" applyNumberFormat="1" applyFont="1" applyFill="1" applyBorder="1" applyAlignment="1">
      <alignment horizontal="center" wrapText="1"/>
    </xf>
    <xf numFmtId="0" fontId="21" fillId="0" borderId="47" xfId="0" applyNumberFormat="1" applyFont="1" applyFill="1" applyBorder="1" applyAlignment="1">
      <alignment horizontal="center" wrapText="1"/>
    </xf>
    <xf numFmtId="0" fontId="21" fillId="0" borderId="28" xfId="0" applyNumberFormat="1" applyFont="1" applyFill="1" applyBorder="1" applyAlignment="1">
      <alignment horizontal="center" wrapText="1"/>
    </xf>
    <xf numFmtId="1" fontId="21" fillId="0" borderId="55" xfId="0" applyNumberFormat="1" applyFont="1" applyFill="1" applyBorder="1" applyAlignment="1">
      <alignment horizontal="center" wrapText="1"/>
    </xf>
    <xf numFmtId="0" fontId="19" fillId="0" borderId="29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>
      <alignment horizontal="left"/>
    </xf>
    <xf numFmtId="0" fontId="21" fillId="0" borderId="54" xfId="0" applyNumberFormat="1" applyFont="1" applyFill="1" applyBorder="1" applyAlignment="1">
      <alignment horizontal="center" wrapText="1"/>
    </xf>
    <xf numFmtId="0" fontId="21" fillId="0" borderId="56" xfId="0" applyNumberFormat="1" applyFont="1" applyFill="1" applyBorder="1" applyAlignment="1">
      <alignment horizontal="center" wrapText="1"/>
    </xf>
    <xf numFmtId="0" fontId="21" fillId="0" borderId="57" xfId="0" applyNumberFormat="1" applyFont="1" applyFill="1" applyBorder="1" applyAlignment="1">
      <alignment horizontal="center" wrapText="1"/>
    </xf>
    <xf numFmtId="0" fontId="21" fillId="0" borderId="61" xfId="0" applyFont="1" applyFill="1" applyBorder="1" applyAlignment="1">
      <alignment horizontal="center" wrapText="1"/>
    </xf>
    <xf numFmtId="0" fontId="21" fillId="0" borderId="62" xfId="0" applyFont="1" applyFill="1" applyBorder="1" applyAlignment="1">
      <alignment horizontal="center" wrapText="1"/>
    </xf>
    <xf numFmtId="0" fontId="21" fillId="0" borderId="63" xfId="0" applyFont="1" applyFill="1" applyBorder="1" applyAlignment="1">
      <alignment horizontal="center" wrapText="1"/>
    </xf>
    <xf numFmtId="41" fontId="21" fillId="0" borderId="28" xfId="0" applyNumberFormat="1" applyFont="1" applyFill="1" applyBorder="1" applyAlignment="1">
      <alignment horizontal="center" wrapText="1"/>
    </xf>
    <xf numFmtId="41" fontId="21" fillId="0" borderId="16" xfId="0" applyNumberFormat="1" applyFont="1" applyFill="1" applyBorder="1" applyAlignment="1">
      <alignment horizontal="center" wrapText="1"/>
    </xf>
    <xf numFmtId="41" fontId="19" fillId="0" borderId="31" xfId="0" applyNumberFormat="1" applyFont="1" applyFill="1" applyBorder="1" applyAlignment="1" applyProtection="1">
      <alignment horizontal="center" wrapText="1"/>
      <protection locked="0"/>
    </xf>
    <xf numFmtId="0" fontId="21" fillId="0" borderId="55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horizontal="center" wrapText="1"/>
    </xf>
    <xf numFmtId="0" fontId="19" fillId="0" borderId="50" xfId="0" applyNumberFormat="1" applyFont="1" applyFill="1" applyBorder="1" applyAlignment="1" applyProtection="1">
      <alignment horizontal="center" wrapText="1"/>
      <protection locked="0"/>
    </xf>
    <xf numFmtId="37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0" fontId="1" fillId="8" borderId="0" xfId="0" applyNumberFormat="1" applyFont="1" applyFill="1" applyAlignment="1" applyProtection="1">
      <alignment horizontal="center" vertical="center"/>
      <protection locked="0"/>
    </xf>
    <xf numFmtId="0" fontId="1" fillId="7" borderId="64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65" xfId="0" applyNumberFormat="1" applyFont="1" applyFill="1" applyBorder="1" applyAlignment="1" applyProtection="1">
      <alignment horizontal="center" vertical="center"/>
      <protection locked="0"/>
    </xf>
  </cellXfs>
  <cellStyles count="16">
    <cellStyle name="Comma" xfId="1" builtinId="3"/>
    <cellStyle name="Comma 2" xfId="2"/>
    <cellStyle name="Comma 3" xfId="3"/>
    <cellStyle name="Currency" xfId="15" builtinId="4"/>
    <cellStyle name="Currency 2" xfId="4"/>
    <cellStyle name="Followed Hyperlink" xfId="14" builtinId="9" hidden="1"/>
    <cellStyle name="Hyperlink" xfId="13" builtinId="8" hidden="1"/>
    <cellStyle name="Hyperlink 2" xfId="5"/>
    <cellStyle name="Normal" xfId="0" builtinId="0"/>
    <cellStyle name="Normal 2" xfId="6"/>
    <cellStyle name="Normal 3" xfId="7"/>
    <cellStyle name="Normal 4" xfId="11"/>
    <cellStyle name="Normal 6" xfId="12"/>
    <cellStyle name="Percent" xfId="8" builtinId="5"/>
    <cellStyle name="Percent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neric%20ACT%20Budget%20-%20Feb%2008%20-%20T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MGF%20TB%20Budget%20VL%20TB%20Feb%202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21105_Budget%20Template_J-PAL%20SA_SCC_5Nov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3_NSFBudget_Networkwithoutnetworks_nourban_direct_final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Approval Sheet"/>
      <sheetName val="Range Page"/>
      <sheetName val="Core Budget"/>
      <sheetName val="Country Budget x 6"/>
      <sheetName val="Donor Summary Budget"/>
      <sheetName val="Donor Crosswalk"/>
      <sheetName val="OH Calculation"/>
      <sheetName val="Match Requirement"/>
      <sheetName val="Advance Payment Calculator"/>
      <sheetName val="Internal Budget Analysis"/>
      <sheetName val="Sheet1"/>
      <sheetName val="Sheet2"/>
      <sheetName val="Sheet3"/>
    </sheetNames>
    <sheetDataSet>
      <sheetData sheetId="0" refreshError="1"/>
      <sheetData sheetId="1" refreshError="1">
        <row r="19">
          <cell r="A19">
            <v>1.6120000000000001</v>
          </cell>
        </row>
        <row r="20">
          <cell r="A20">
            <v>0.04</v>
          </cell>
        </row>
        <row r="21">
          <cell r="A21">
            <v>0.12</v>
          </cell>
        </row>
      </sheetData>
      <sheetData sheetId="2" refreshError="1"/>
      <sheetData sheetId="3" refreshError="1">
        <row r="503">
          <cell r="E503">
            <v>0.78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Approval Sheet"/>
      <sheetName val="Range Page"/>
      <sheetName val="Detailed Budget"/>
      <sheetName val="BMGF summary"/>
      <sheetName val="Summary Budget"/>
      <sheetName val="Salary"/>
      <sheetName val="travel"/>
      <sheetName val="Categories of villages"/>
      <sheetName val="OH Calculation"/>
      <sheetName val="Match Requirement"/>
      <sheetName val="Advance Payment Calculator"/>
      <sheetName val="Internal Budget Analysis"/>
    </sheetNames>
    <sheetDataSet>
      <sheetData sheetId="0"/>
      <sheetData sheetId="1" refreshError="1">
        <row r="8">
          <cell r="A8">
            <v>1555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ed Budget"/>
      <sheetName val="Range Page"/>
      <sheetName val="Key info sheet"/>
    </sheetNames>
    <sheetDataSet>
      <sheetData sheetId="0" refreshError="1"/>
      <sheetData sheetId="1" refreshError="1"/>
      <sheetData sheetId="2" refreshError="1">
        <row r="10">
          <cell r="A10">
            <v>1.1000000000000001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ed Budget"/>
      <sheetName val="Range Page"/>
      <sheetName val="Key info sheet"/>
      <sheetName val="Sheet1"/>
    </sheetNames>
    <sheetDataSet>
      <sheetData sheetId="0" refreshError="1"/>
      <sheetData sheetId="1"/>
      <sheetData sheetId="2">
        <row r="10">
          <cell r="A10">
            <v>1.1000000000000001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view="pageBreakPreview" zoomScaleNormal="90" zoomScaleSheetLayoutView="100" zoomScalePageLayoutView="90" workbookViewId="0">
      <selection activeCell="I1" sqref="I1"/>
    </sheetView>
  </sheetViews>
  <sheetFormatPr defaultColWidth="8.7265625" defaultRowHeight="13.2"/>
  <cols>
    <col min="1" max="1" width="3" customWidth="1"/>
    <col min="2" max="2" width="23.26953125" customWidth="1"/>
    <col min="3" max="3" width="24.26953125" customWidth="1"/>
    <col min="4" max="4" width="1.453125" customWidth="1"/>
    <col min="5" max="5" width="2.7265625" customWidth="1"/>
    <col min="6" max="6" width="22.7265625" customWidth="1"/>
    <col min="7" max="7" width="1.81640625" style="59" customWidth="1"/>
    <col min="8" max="8" width="2.7265625" customWidth="1"/>
    <col min="9" max="9" width="19.26953125" customWidth="1"/>
    <col min="10" max="10" width="17.81640625" customWidth="1"/>
  </cols>
  <sheetData>
    <row r="1" spans="1:10" ht="16.2" thickBot="1">
      <c r="A1" s="108" t="s">
        <v>172</v>
      </c>
      <c r="B1" s="9"/>
      <c r="C1" s="10"/>
      <c r="D1" s="10"/>
      <c r="E1" s="10"/>
      <c r="F1" s="10"/>
      <c r="G1" s="10"/>
      <c r="H1" s="10"/>
      <c r="I1" s="10"/>
      <c r="J1" s="11"/>
    </row>
    <row r="2" spans="1:10">
      <c r="A2" s="12"/>
      <c r="B2" s="13"/>
      <c r="C2" s="6"/>
      <c r="D2" s="14"/>
      <c r="E2" s="6"/>
      <c r="F2" s="6"/>
      <c r="G2" s="14"/>
      <c r="H2" s="6"/>
      <c r="I2" s="6"/>
      <c r="J2" s="15"/>
    </row>
    <row r="3" spans="1:10">
      <c r="A3" s="12" t="s">
        <v>48</v>
      </c>
      <c r="B3" s="13"/>
      <c r="C3" s="16"/>
      <c r="D3" s="14"/>
      <c r="E3" s="6"/>
      <c r="F3" s="106" t="s">
        <v>173</v>
      </c>
      <c r="G3" s="14"/>
      <c r="H3" s="6"/>
      <c r="I3" s="16"/>
      <c r="J3" s="15"/>
    </row>
    <row r="4" spans="1:10">
      <c r="A4" s="12" t="s">
        <v>88</v>
      </c>
      <c r="B4" s="13"/>
      <c r="C4" s="17"/>
      <c r="D4" s="14"/>
      <c r="E4" s="6"/>
      <c r="F4" s="6" t="s">
        <v>49</v>
      </c>
      <c r="G4" s="14"/>
      <c r="H4" s="6"/>
      <c r="I4" s="17"/>
      <c r="J4" s="15"/>
    </row>
    <row r="5" spans="1:10" ht="13.8" thickBot="1">
      <c r="A5" s="7"/>
      <c r="B5" s="6"/>
      <c r="C5" s="6"/>
      <c r="D5" s="14"/>
      <c r="E5" s="6"/>
      <c r="F5" s="6"/>
      <c r="G5" s="14"/>
      <c r="H5" s="6"/>
      <c r="I5" s="6"/>
      <c r="J5" s="15"/>
    </row>
    <row r="6" spans="1:10" ht="14.4" thickTop="1" thickBot="1">
      <c r="A6" s="18" t="s">
        <v>99</v>
      </c>
      <c r="B6" s="19"/>
      <c r="C6" s="20"/>
      <c r="D6" s="20"/>
      <c r="E6" s="20"/>
      <c r="F6" s="20"/>
      <c r="G6" s="20"/>
      <c r="H6" s="20"/>
      <c r="I6" s="21"/>
      <c r="J6" s="22"/>
    </row>
    <row r="7" spans="1:10" ht="14.4" thickTop="1" thickBot="1">
      <c r="A7" s="7"/>
      <c r="B7" s="6"/>
      <c r="C7" s="6"/>
      <c r="D7" s="14"/>
      <c r="E7" s="6"/>
      <c r="F7" s="6"/>
      <c r="G7" s="14"/>
      <c r="H7" s="6"/>
      <c r="I7" s="23" t="s">
        <v>50</v>
      </c>
      <c r="J7" s="15"/>
    </row>
    <row r="8" spans="1:10" ht="13.8" thickBot="1">
      <c r="A8" s="7" t="s">
        <v>52</v>
      </c>
      <c r="B8" s="6"/>
      <c r="C8" s="17"/>
      <c r="D8" s="14"/>
      <c r="E8" s="14"/>
      <c r="F8" s="24"/>
      <c r="G8" s="14"/>
      <c r="H8" s="25"/>
      <c r="I8" s="13" t="s">
        <v>51</v>
      </c>
      <c r="J8" s="15"/>
    </row>
    <row r="9" spans="1:10" ht="13.8" thickBot="1">
      <c r="A9" s="7" t="s">
        <v>89</v>
      </c>
      <c r="B9" s="26"/>
      <c r="C9" s="27"/>
      <c r="D9" s="28"/>
      <c r="E9" s="14"/>
      <c r="F9" s="29"/>
      <c r="G9" s="14"/>
      <c r="H9" s="25"/>
      <c r="I9" s="13" t="s">
        <v>53</v>
      </c>
      <c r="J9" s="15"/>
    </row>
    <row r="10" spans="1:10" ht="13.8" thickBot="1">
      <c r="A10" s="7" t="s">
        <v>90</v>
      </c>
      <c r="B10" s="6"/>
      <c r="C10" s="104"/>
      <c r="D10" s="14"/>
      <c r="E10" s="14"/>
      <c r="F10" s="30"/>
      <c r="G10" s="14"/>
      <c r="H10" s="25"/>
      <c r="I10" s="13" t="s">
        <v>54</v>
      </c>
      <c r="J10" s="15"/>
    </row>
    <row r="11" spans="1:10" ht="13.8" thickBot="1">
      <c r="A11" s="7" t="s">
        <v>91</v>
      </c>
      <c r="B11" s="6"/>
      <c r="C11" s="104"/>
      <c r="D11" s="14"/>
      <c r="E11" s="14"/>
      <c r="F11" s="29"/>
      <c r="G11" s="14"/>
      <c r="H11" s="25"/>
      <c r="I11" s="13" t="s">
        <v>55</v>
      </c>
      <c r="J11" s="15"/>
    </row>
    <row r="12" spans="1:10">
      <c r="A12" s="7"/>
      <c r="B12" s="6"/>
      <c r="C12" s="6"/>
      <c r="D12" s="14"/>
      <c r="E12" s="14"/>
      <c r="F12" s="31"/>
      <c r="G12" s="14"/>
      <c r="H12" s="6"/>
      <c r="I12" s="13"/>
      <c r="J12" s="15"/>
    </row>
    <row r="13" spans="1:10" ht="13.8" thickBot="1">
      <c r="A13" s="12" t="s">
        <v>56</v>
      </c>
      <c r="B13" s="13"/>
      <c r="C13" s="6"/>
      <c r="D13" s="14"/>
      <c r="E13" s="14"/>
      <c r="F13" s="29"/>
      <c r="G13" s="14"/>
      <c r="H13" s="6"/>
      <c r="I13" s="23" t="s">
        <v>57</v>
      </c>
      <c r="J13" s="15"/>
    </row>
    <row r="14" spans="1:10" ht="13.8" thickBot="1">
      <c r="A14" s="32"/>
      <c r="B14" s="33"/>
      <c r="C14" s="34"/>
      <c r="D14" s="14"/>
      <c r="E14" s="14"/>
      <c r="F14" s="29"/>
      <c r="G14" s="14"/>
      <c r="H14" s="25"/>
      <c r="I14" s="13" t="s">
        <v>107</v>
      </c>
      <c r="J14" s="15"/>
    </row>
    <row r="15" spans="1:10" ht="13.8" thickBot="1">
      <c r="A15" s="35"/>
      <c r="B15" s="34"/>
      <c r="C15" s="34"/>
      <c r="D15" s="14"/>
      <c r="E15" s="14"/>
      <c r="F15" s="29"/>
      <c r="G15" s="14"/>
      <c r="H15" s="25"/>
      <c r="I15" s="13" t="s">
        <v>58</v>
      </c>
      <c r="J15" s="15"/>
    </row>
    <row r="16" spans="1:10" ht="13.8" thickBot="1">
      <c r="A16" s="32"/>
      <c r="B16" s="33"/>
      <c r="C16" s="34"/>
      <c r="D16" s="14"/>
      <c r="E16" s="14"/>
      <c r="F16" s="29"/>
      <c r="G16" s="14"/>
      <c r="H16" s="25"/>
      <c r="I16" s="13" t="s">
        <v>59</v>
      </c>
      <c r="J16" s="15"/>
    </row>
    <row r="17" spans="1:10" ht="15" customHeight="1" thickBot="1">
      <c r="A17" s="7"/>
      <c r="B17" s="6"/>
      <c r="C17" s="6"/>
      <c r="D17" s="14"/>
      <c r="E17" s="14"/>
      <c r="F17" s="29"/>
      <c r="G17" s="14"/>
      <c r="H17" s="25"/>
      <c r="I17" s="13" t="s">
        <v>60</v>
      </c>
      <c r="J17" s="15"/>
    </row>
    <row r="18" spans="1:10" ht="13.8" thickBot="1">
      <c r="A18" s="12" t="s">
        <v>106</v>
      </c>
      <c r="B18" s="13"/>
      <c r="C18" s="6"/>
      <c r="D18" s="14"/>
      <c r="E18" s="14"/>
      <c r="F18" s="24"/>
      <c r="G18" s="14"/>
      <c r="H18" s="25"/>
      <c r="I18" s="13" t="s">
        <v>61</v>
      </c>
      <c r="J18" s="15"/>
    </row>
    <row r="19" spans="1:10" ht="13.8" thickBot="1">
      <c r="A19" s="36"/>
      <c r="B19" s="37"/>
      <c r="C19" s="34"/>
      <c r="D19" s="14"/>
      <c r="E19" s="14"/>
      <c r="F19" s="29"/>
      <c r="G19" s="14"/>
      <c r="H19" s="6"/>
      <c r="I19" s="13"/>
      <c r="J19" s="15"/>
    </row>
    <row r="20" spans="1:10" ht="13.8" thickBot="1">
      <c r="A20" s="32"/>
      <c r="B20" s="33"/>
      <c r="C20" s="34"/>
      <c r="D20" s="14"/>
      <c r="E20" s="14"/>
      <c r="F20" s="29"/>
      <c r="G20" s="14"/>
      <c r="H20" s="6"/>
      <c r="I20" s="38" t="s">
        <v>62</v>
      </c>
      <c r="J20" s="15"/>
    </row>
    <row r="21" spans="1:10" ht="13.8" thickBot="1">
      <c r="A21" s="7"/>
      <c r="B21" s="6"/>
      <c r="C21" s="6"/>
      <c r="D21" s="14"/>
      <c r="E21" s="14"/>
      <c r="F21" s="39"/>
      <c r="G21" s="14"/>
      <c r="H21" s="25"/>
      <c r="I21" s="13" t="s">
        <v>63</v>
      </c>
      <c r="J21" s="15"/>
    </row>
    <row r="22" spans="1:10" ht="13.8" thickBot="1">
      <c r="A22" s="12" t="s">
        <v>92</v>
      </c>
      <c r="B22" s="13"/>
      <c r="C22" s="40"/>
      <c r="D22" s="28"/>
      <c r="E22" s="14"/>
      <c r="F22" s="41"/>
      <c r="G22" s="14"/>
      <c r="H22" s="25"/>
      <c r="I22" s="7" t="s">
        <v>64</v>
      </c>
      <c r="J22" s="42"/>
    </row>
    <row r="23" spans="1:10" ht="13.8" thickBot="1">
      <c r="A23" s="12" t="s">
        <v>93</v>
      </c>
      <c r="B23" s="13"/>
      <c r="C23" s="43"/>
      <c r="D23" s="28"/>
      <c r="E23" s="14"/>
      <c r="F23" s="44"/>
      <c r="G23" s="14"/>
      <c r="H23" s="6"/>
      <c r="I23" s="6"/>
      <c r="J23" s="15"/>
    </row>
    <row r="24" spans="1:10">
      <c r="A24" s="45"/>
      <c r="B24" s="23"/>
      <c r="C24" s="6"/>
      <c r="D24" s="14"/>
      <c r="E24" s="14"/>
      <c r="F24" s="46"/>
      <c r="G24" s="14"/>
      <c r="H24" s="6"/>
      <c r="I24" s="6"/>
      <c r="J24" s="15"/>
    </row>
    <row r="25" spans="1:10">
      <c r="A25" s="45" t="s">
        <v>98</v>
      </c>
      <c r="B25" s="23"/>
      <c r="C25" s="6"/>
      <c r="D25" s="14"/>
      <c r="E25" s="14"/>
      <c r="F25" s="46"/>
      <c r="G25" s="14"/>
      <c r="H25" s="6"/>
      <c r="I25" s="6"/>
      <c r="J25" s="15"/>
    </row>
    <row r="26" spans="1:10" ht="13.8" thickBot="1">
      <c r="A26" s="12" t="s">
        <v>94</v>
      </c>
      <c r="B26" s="13"/>
      <c r="C26" s="40"/>
      <c r="D26" s="14"/>
      <c r="E26" s="14"/>
      <c r="F26" s="46"/>
      <c r="G26" s="14"/>
      <c r="H26" s="6"/>
      <c r="I26" s="38" t="s">
        <v>177</v>
      </c>
      <c r="J26" s="15"/>
    </row>
    <row r="27" spans="1:10" ht="13.8" thickBot="1">
      <c r="A27" s="12" t="s">
        <v>95</v>
      </c>
      <c r="B27" s="13"/>
      <c r="C27" s="43"/>
      <c r="D27" s="14"/>
      <c r="E27" s="14"/>
      <c r="F27" s="46"/>
      <c r="G27" s="14"/>
      <c r="H27" s="25"/>
      <c r="I27" s="13" t="s">
        <v>63</v>
      </c>
      <c r="J27" s="15"/>
    </row>
    <row r="28" spans="1:10" ht="13.8" thickBot="1">
      <c r="A28" s="12" t="s">
        <v>176</v>
      </c>
      <c r="B28" s="13"/>
      <c r="C28" s="43"/>
      <c r="D28" s="14"/>
      <c r="E28" s="14"/>
      <c r="F28" s="46"/>
      <c r="G28" s="14"/>
      <c r="H28" s="25"/>
      <c r="I28" s="105" t="s">
        <v>96</v>
      </c>
      <c r="J28" s="42"/>
    </row>
    <row r="29" spans="1:10" ht="13.8" thickBot="1">
      <c r="A29" s="12" t="s">
        <v>97</v>
      </c>
      <c r="B29" s="13"/>
      <c r="C29" s="43"/>
      <c r="D29" s="14"/>
      <c r="E29" s="14"/>
      <c r="F29" s="46"/>
      <c r="G29" s="14"/>
      <c r="H29" s="6"/>
      <c r="I29" s="6"/>
      <c r="J29" s="15"/>
    </row>
    <row r="30" spans="1:10">
      <c r="A30" s="48"/>
      <c r="B30" s="13"/>
      <c r="C30" s="6"/>
      <c r="D30" s="14"/>
      <c r="E30" s="6"/>
      <c r="F30" s="6"/>
      <c r="G30" s="14"/>
      <c r="H30" s="6"/>
      <c r="I30" s="6"/>
      <c r="J30" s="49"/>
    </row>
    <row r="31" spans="1:10" ht="13.8" thickBot="1">
      <c r="A31" s="12"/>
      <c r="B31" s="13"/>
      <c r="C31" s="6"/>
      <c r="D31" s="6"/>
      <c r="E31" s="13" t="s">
        <v>5</v>
      </c>
      <c r="F31" s="6"/>
      <c r="G31" s="14"/>
      <c r="H31" s="6"/>
      <c r="I31" s="6"/>
      <c r="J31" s="15"/>
    </row>
    <row r="32" spans="1:10" ht="14.4" thickTop="1" thickBot="1">
      <c r="A32" s="18" t="s">
        <v>100</v>
      </c>
      <c r="B32" s="52"/>
      <c r="C32" s="20"/>
      <c r="D32" s="20"/>
      <c r="E32" s="20"/>
      <c r="F32" s="20"/>
      <c r="G32" s="20"/>
      <c r="H32" s="20"/>
      <c r="I32" s="20"/>
      <c r="J32" s="22"/>
    </row>
    <row r="33" spans="1:10" ht="14.4" thickTop="1" thickBot="1">
      <c r="A33" s="12"/>
      <c r="B33" s="13"/>
      <c r="C33" s="13"/>
      <c r="D33" s="13"/>
      <c r="E33" s="6"/>
      <c r="F33" s="6"/>
      <c r="G33" s="14"/>
      <c r="H33" s="6"/>
      <c r="I33" s="23" t="s">
        <v>65</v>
      </c>
      <c r="J33" s="15"/>
    </row>
    <row r="34" spans="1:10" ht="13.8" thickBot="1">
      <c r="A34" s="12" t="s">
        <v>103</v>
      </c>
      <c r="B34" s="13"/>
      <c r="C34" s="3"/>
      <c r="D34" s="6"/>
      <c r="E34" s="6"/>
      <c r="F34" s="3"/>
      <c r="G34" s="47"/>
      <c r="H34" s="25"/>
      <c r="I34" s="50" t="s">
        <v>66</v>
      </c>
      <c r="J34" s="15"/>
    </row>
    <row r="35" spans="1:10" ht="13.8" thickBot="1">
      <c r="A35" s="12" t="s">
        <v>67</v>
      </c>
      <c r="B35" s="13"/>
      <c r="C35" s="106" t="s">
        <v>174</v>
      </c>
      <c r="D35" s="6"/>
      <c r="E35" s="6"/>
      <c r="F35" s="6" t="s">
        <v>68</v>
      </c>
      <c r="G35" s="14"/>
      <c r="H35" s="25"/>
      <c r="I35" s="50" t="s">
        <v>69</v>
      </c>
      <c r="J35" s="15"/>
    </row>
    <row r="36" spans="1:10" ht="13.8" thickBot="1">
      <c r="A36" s="12"/>
      <c r="B36" s="13"/>
      <c r="C36" s="6"/>
      <c r="D36" s="6"/>
      <c r="E36" s="6"/>
      <c r="F36" s="6"/>
      <c r="G36" s="14"/>
      <c r="H36" s="25"/>
      <c r="I36" s="50" t="s">
        <v>70</v>
      </c>
      <c r="J36" s="15"/>
    </row>
    <row r="37" spans="1:10" ht="13.8" thickBot="1">
      <c r="A37" s="12" t="s">
        <v>104</v>
      </c>
      <c r="B37" s="13"/>
      <c r="C37" s="3"/>
      <c r="D37" s="6"/>
      <c r="E37" s="6"/>
      <c r="F37" s="3"/>
      <c r="G37" s="14"/>
      <c r="H37" s="25"/>
      <c r="I37" s="13" t="s">
        <v>101</v>
      </c>
      <c r="J37" s="15"/>
    </row>
    <row r="38" spans="1:10" ht="13.8" thickBot="1">
      <c r="A38" s="12" t="s">
        <v>105</v>
      </c>
      <c r="B38" s="13"/>
      <c r="C38" s="106" t="s">
        <v>174</v>
      </c>
      <c r="D38" s="51"/>
      <c r="E38" s="6"/>
      <c r="F38" s="53" t="s">
        <v>68</v>
      </c>
      <c r="G38" s="14"/>
      <c r="H38" s="25"/>
      <c r="I38" s="13" t="s">
        <v>102</v>
      </c>
      <c r="J38" s="15"/>
    </row>
    <row r="39" spans="1:10">
      <c r="A39" s="7"/>
      <c r="B39" s="13"/>
      <c r="C39" s="6"/>
      <c r="D39" s="6"/>
      <c r="E39" s="6"/>
      <c r="F39" s="6"/>
      <c r="G39" s="14"/>
      <c r="H39" s="6"/>
      <c r="I39" s="6"/>
      <c r="J39" s="15"/>
    </row>
    <row r="40" spans="1:10" ht="13.8" thickBot="1">
      <c r="A40" s="54" t="s">
        <v>175</v>
      </c>
      <c r="B40" s="55"/>
      <c r="C40" s="3"/>
      <c r="D40" s="3"/>
      <c r="E40" s="3"/>
      <c r="F40" s="3"/>
      <c r="G40" s="56"/>
      <c r="H40" s="3"/>
      <c r="I40" s="3"/>
      <c r="J40" s="57"/>
    </row>
    <row r="41" spans="1:10" ht="13.8">
      <c r="A41" s="58"/>
      <c r="B41" s="58"/>
    </row>
    <row r="42" spans="1:10" ht="13.8">
      <c r="A42" s="58"/>
      <c r="B42" s="58"/>
    </row>
    <row r="44" spans="1:10">
      <c r="A44" s="60"/>
      <c r="B44" s="60"/>
    </row>
    <row r="45" spans="1:10" ht="13.8">
      <c r="A45" s="58"/>
      <c r="B45" s="58"/>
    </row>
    <row r="46" spans="1:10" ht="13.8">
      <c r="A46" s="58"/>
      <c r="B46" s="58"/>
    </row>
    <row r="47" spans="1:10">
      <c r="A47" s="61"/>
      <c r="B47" s="61"/>
    </row>
    <row r="48" spans="1:10" ht="13.8">
      <c r="C48" s="58"/>
      <c r="D48" s="58"/>
    </row>
    <row r="49" spans="1:4" ht="13.8">
      <c r="C49" s="58"/>
      <c r="D49" s="58"/>
    </row>
    <row r="50" spans="1:4" ht="13.8">
      <c r="C50" s="58"/>
      <c r="D50" s="58"/>
    </row>
    <row r="51" spans="1:4" ht="13.8">
      <c r="C51" s="58"/>
      <c r="D51" s="58"/>
    </row>
    <row r="52" spans="1:4">
      <c r="A52" s="62"/>
      <c r="B52" s="62"/>
    </row>
    <row r="53" spans="1:4">
      <c r="A53" s="60"/>
      <c r="B53" s="60"/>
    </row>
    <row r="54" spans="1:4" ht="13.8">
      <c r="A54" s="58"/>
      <c r="B54" s="58"/>
    </row>
    <row r="55" spans="1:4" ht="13.8">
      <c r="A55" s="58"/>
      <c r="B55" s="58"/>
    </row>
    <row r="56" spans="1:4">
      <c r="A56" s="63"/>
      <c r="B56" s="63"/>
    </row>
    <row r="57" spans="1:4">
      <c r="A57" s="63"/>
      <c r="B57" s="63"/>
    </row>
    <row r="58" spans="1:4">
      <c r="A58" s="64"/>
      <c r="B58" s="64"/>
    </row>
    <row r="59" spans="1:4">
      <c r="A59" s="60"/>
      <c r="B59" s="60"/>
    </row>
    <row r="61" spans="1:4">
      <c r="A61" s="60"/>
      <c r="B61" s="60"/>
    </row>
    <row r="62" spans="1:4" ht="13.8">
      <c r="A62" s="58"/>
      <c r="B62" s="58"/>
    </row>
    <row r="63" spans="1:4" ht="13.8">
      <c r="A63" s="58"/>
      <c r="B63" s="58"/>
    </row>
    <row r="64" spans="1:4">
      <c r="A64" s="62"/>
      <c r="B64" s="62"/>
    </row>
    <row r="65" spans="1:7" ht="13.8">
      <c r="A65" s="58"/>
      <c r="B65" s="58"/>
    </row>
    <row r="66" spans="1:7" ht="13.8">
      <c r="A66" s="58"/>
      <c r="B66" s="58"/>
    </row>
    <row r="67" spans="1:7" ht="13.8">
      <c r="A67" s="58"/>
      <c r="B67" s="58"/>
    </row>
    <row r="68" spans="1:7" ht="13.8">
      <c r="A68" s="58"/>
      <c r="B68" s="58"/>
    </row>
    <row r="69" spans="1:7">
      <c r="A69" s="60"/>
      <c r="B69" s="60"/>
    </row>
    <row r="70" spans="1:7">
      <c r="A70" s="64"/>
      <c r="B70" s="64"/>
    </row>
    <row r="71" spans="1:7">
      <c r="A71" s="62"/>
      <c r="B71" s="62"/>
    </row>
    <row r="72" spans="1:7" ht="13.8">
      <c r="A72" s="65"/>
      <c r="B72" s="65"/>
    </row>
    <row r="73" spans="1:7" ht="13.8">
      <c r="A73" s="65"/>
      <c r="B73" s="65"/>
    </row>
    <row r="74" spans="1:7">
      <c r="A74" s="66"/>
      <c r="B74" s="66"/>
    </row>
    <row r="75" spans="1:7">
      <c r="A75" s="62"/>
      <c r="B75" s="62"/>
    </row>
    <row r="76" spans="1:7">
      <c r="A76" s="64"/>
      <c r="B76" s="64"/>
    </row>
    <row r="77" spans="1:7">
      <c r="A77" s="67"/>
      <c r="B77" s="67"/>
      <c r="F77" s="67"/>
      <c r="G77" s="68"/>
    </row>
    <row r="78" spans="1:7">
      <c r="A78" s="69"/>
      <c r="B78" s="69"/>
      <c r="C78" s="69"/>
      <c r="D78" s="69"/>
      <c r="E78" s="67"/>
    </row>
    <row r="79" spans="1:7">
      <c r="A79" s="69"/>
      <c r="B79" s="69"/>
      <c r="C79" s="67"/>
      <c r="D79" s="67"/>
    </row>
    <row r="80" spans="1:7">
      <c r="A80" s="62"/>
      <c r="B80" s="62"/>
    </row>
    <row r="81" spans="1:4" ht="15.6">
      <c r="A81" s="70"/>
      <c r="B81" s="70"/>
    </row>
    <row r="83" spans="1:4">
      <c r="A83" s="71"/>
      <c r="B83" s="71"/>
    </row>
    <row r="84" spans="1:4">
      <c r="A84" s="62"/>
      <c r="B84" s="62"/>
    </row>
    <row r="85" spans="1:4">
      <c r="A85" s="62"/>
      <c r="B85" s="62"/>
    </row>
    <row r="86" spans="1:4">
      <c r="A86" s="62"/>
      <c r="B86" s="62"/>
    </row>
    <row r="87" spans="1:4">
      <c r="A87" s="62"/>
      <c r="B87" s="62"/>
    </row>
    <row r="88" spans="1:4">
      <c r="A88" s="62"/>
      <c r="B88" s="62"/>
      <c r="C88" s="62"/>
      <c r="D88" s="62"/>
    </row>
    <row r="89" spans="1:4">
      <c r="A89" s="62"/>
      <c r="B89" s="62"/>
    </row>
    <row r="90" spans="1:4">
      <c r="A90" s="62"/>
      <c r="B90" s="62"/>
    </row>
    <row r="91" spans="1:4">
      <c r="A91" s="62"/>
      <c r="B91" s="62"/>
    </row>
    <row r="92" spans="1:4">
      <c r="A92" s="62"/>
      <c r="B92" s="62"/>
    </row>
    <row r="95" spans="1:4">
      <c r="A95" s="71"/>
      <c r="B95" s="71"/>
    </row>
    <row r="96" spans="1:4">
      <c r="A96" s="62"/>
      <c r="B96" s="62"/>
    </row>
    <row r="97" spans="1:2">
      <c r="A97" s="62"/>
      <c r="B97" s="62"/>
    </row>
    <row r="98" spans="1:2">
      <c r="A98" s="62"/>
      <c r="B98" s="62"/>
    </row>
    <row r="99" spans="1:2">
      <c r="A99" s="62"/>
      <c r="B99" s="62"/>
    </row>
    <row r="100" spans="1:2">
      <c r="A100" s="62"/>
      <c r="B100" s="62"/>
    </row>
    <row r="101" spans="1:2">
      <c r="A101" s="62"/>
      <c r="B101" s="62"/>
    </row>
    <row r="102" spans="1:2">
      <c r="A102" s="62"/>
      <c r="B102" s="62"/>
    </row>
    <row r="103" spans="1:2">
      <c r="A103" s="62"/>
      <c r="B103" s="62"/>
    </row>
    <row r="104" spans="1:2">
      <c r="A104" s="60"/>
      <c r="B104" s="60"/>
    </row>
    <row r="105" spans="1:2">
      <c r="A105" s="60"/>
      <c r="B105" s="60"/>
    </row>
    <row r="106" spans="1:2" ht="13.8">
      <c r="A106" s="58"/>
      <c r="B106" s="58"/>
    </row>
    <row r="107" spans="1:2" ht="13.8">
      <c r="A107" s="58"/>
      <c r="B107" s="58"/>
    </row>
    <row r="108" spans="1:2" ht="13.8">
      <c r="A108" s="58"/>
      <c r="B108" s="58"/>
    </row>
    <row r="109" spans="1:2" ht="13.8">
      <c r="A109" s="72"/>
      <c r="B109" s="72"/>
    </row>
    <row r="110" spans="1:2" ht="13.8">
      <c r="A110" s="72"/>
      <c r="B110" s="72"/>
    </row>
    <row r="111" spans="1:2">
      <c r="A111" s="62"/>
      <c r="B111" s="62"/>
    </row>
    <row r="112" spans="1:2">
      <c r="A112" s="71"/>
      <c r="B112" s="71"/>
    </row>
  </sheetData>
  <phoneticPr fontId="10" type="noConversion"/>
  <pageMargins left="0.26" right="0.43" top="0.72" bottom="0.78" header="0.5" footer="0.5"/>
  <pageSetup scale="6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70" zoomScaleNormal="70" zoomScalePageLayoutView="125" workbookViewId="0">
      <selection activeCell="A3" sqref="A3"/>
    </sheetView>
  </sheetViews>
  <sheetFormatPr defaultColWidth="8.7265625" defaultRowHeight="15"/>
  <cols>
    <col min="1" max="1" width="55.453125" style="5" bestFit="1" customWidth="1"/>
    <col min="2" max="2" width="15.7265625" style="5" customWidth="1"/>
    <col min="3" max="3" width="13.7265625" style="5" bestFit="1" customWidth="1"/>
    <col min="4" max="4" width="15.453125" style="5" bestFit="1" customWidth="1"/>
    <col min="5" max="16384" width="8.7265625" style="5"/>
  </cols>
  <sheetData>
    <row r="1" spans="1:5">
      <c r="A1" s="340" t="s">
        <v>392</v>
      </c>
      <c r="B1" s="340"/>
      <c r="C1" s="340"/>
      <c r="D1" s="340"/>
    </row>
    <row r="2" spans="1:5" ht="62.4" customHeight="1">
      <c r="A2" s="340"/>
      <c r="B2" s="340"/>
      <c r="C2" s="340"/>
      <c r="D2" s="340"/>
    </row>
    <row r="3" spans="1:5" ht="15.6">
      <c r="A3" s="291" t="str">
        <f>'Detailed Budget'!A4:B4</f>
        <v>Project Name:  XYZ</v>
      </c>
      <c r="B3" s="75"/>
      <c r="C3" s="77"/>
      <c r="D3" s="76"/>
    </row>
    <row r="4" spans="1:5" ht="16.2" thickBot="1">
      <c r="A4" s="292" t="s">
        <v>24</v>
      </c>
      <c r="B4" s="73"/>
      <c r="C4" s="74"/>
      <c r="D4" s="76"/>
    </row>
    <row r="5" spans="1:5" ht="15.75" customHeight="1" thickTop="1">
      <c r="A5" s="343" t="s">
        <v>2</v>
      </c>
      <c r="B5" s="345" t="s">
        <v>0</v>
      </c>
      <c r="C5" s="347" t="s">
        <v>109</v>
      </c>
      <c r="D5" s="341" t="s">
        <v>1</v>
      </c>
    </row>
    <row r="6" spans="1:5" ht="17.399999999999999" customHeight="1" thickBot="1">
      <c r="A6" s="344"/>
      <c r="B6" s="346"/>
      <c r="C6" s="348"/>
      <c r="D6" s="342"/>
    </row>
    <row r="7" spans="1:5" ht="16.2" thickTop="1">
      <c r="A7" s="282" t="str">
        <f>'Detailed Budget'!B10</f>
        <v xml:space="preserve"> I. PI Cost </v>
      </c>
      <c r="B7" s="293">
        <f>'Detailed Budget'!F15/DollarLC</f>
        <v>0</v>
      </c>
      <c r="C7" s="293">
        <f>'Detailed Budget'!H15/DollarLC</f>
        <v>0</v>
      </c>
      <c r="D7" s="294">
        <f>SUM(B7:C7)</f>
        <v>0</v>
      </c>
      <c r="E7" s="96"/>
    </row>
    <row r="8" spans="1:5" ht="15.6">
      <c r="A8" s="84"/>
      <c r="B8" s="287"/>
      <c r="C8" s="288"/>
      <c r="D8" s="294"/>
    </row>
    <row r="9" spans="1:5" ht="15.6">
      <c r="A9" s="282" t="str">
        <f>'Detailed Budget'!B17</f>
        <v>II. LOCAL STAFF</v>
      </c>
      <c r="B9" s="293">
        <f>'Detailed Budget'!F39/DollarLC</f>
        <v>7138.4615384615381</v>
      </c>
      <c r="C9" s="293">
        <f>'Detailed Budget'!H39/DollarLC</f>
        <v>0</v>
      </c>
      <c r="D9" s="294">
        <f>SUM(B9:C9)</f>
        <v>7138.4615384615381</v>
      </c>
    </row>
    <row r="10" spans="1:5" ht="15.6">
      <c r="A10" s="282"/>
      <c r="B10" s="293"/>
      <c r="C10" s="295"/>
      <c r="D10" s="294"/>
    </row>
    <row r="11" spans="1:5" ht="15.6">
      <c r="A11" s="282" t="str">
        <f>'Detailed Budget'!B41</f>
        <v>III. FRINGES</v>
      </c>
      <c r="B11" s="293">
        <f>'Detailed Budget'!F43</f>
        <v>0</v>
      </c>
      <c r="C11" s="293">
        <f>'Detailed Budget'!H43/DollarLC</f>
        <v>0</v>
      </c>
      <c r="D11" s="294">
        <f>SUM(B11:C11)</f>
        <v>0</v>
      </c>
    </row>
    <row r="12" spans="1:5" ht="15.6">
      <c r="A12" s="85"/>
      <c r="B12" s="289"/>
      <c r="C12" s="290"/>
      <c r="D12" s="294"/>
    </row>
    <row r="13" spans="1:5" ht="15.6">
      <c r="A13" s="282" t="str">
        <f>'Detailed Budget'!B46</f>
        <v>I V. TRAVEL</v>
      </c>
      <c r="B13" s="293">
        <f>'Detailed Budget'!F70/DollarLC</f>
        <v>4612.3076923076924</v>
      </c>
      <c r="C13" s="293">
        <f>'Detailed Budget'!H70/DollarLC</f>
        <v>0</v>
      </c>
      <c r="D13" s="294">
        <f>SUM(B13:C13)</f>
        <v>4612.3076923076924</v>
      </c>
    </row>
    <row r="14" spans="1:5" ht="15.6">
      <c r="A14" s="84"/>
      <c r="B14" s="293"/>
      <c r="C14" s="295"/>
      <c r="D14" s="294"/>
    </row>
    <row r="15" spans="1:5" ht="15.6">
      <c r="A15" s="282" t="str">
        <f>'Detailed Budget'!B72</f>
        <v>V.  PROFESSIONAL SERVICES</v>
      </c>
      <c r="B15" s="293">
        <f>'Detailed Budget'!F74/DollarLC</f>
        <v>69.230769230769226</v>
      </c>
      <c r="C15" s="293">
        <f>'Detailed Budget'!H74/DollarLC</f>
        <v>0</v>
      </c>
      <c r="D15" s="294">
        <f>SUM(B15:C15)</f>
        <v>69.230769230769226</v>
      </c>
    </row>
    <row r="16" spans="1:5" ht="15.6">
      <c r="A16" s="282"/>
      <c r="B16" s="293"/>
      <c r="C16" s="295"/>
      <c r="D16" s="294"/>
    </row>
    <row r="17" spans="1:12" ht="15.6">
      <c r="A17" s="282" t="str">
        <f>'Detailed Budget'!B77</f>
        <v>VI. EQUIPMENT</v>
      </c>
      <c r="B17" s="293">
        <f>'Detailed Budget'!F80/DollarLC</f>
        <v>230.76923076923077</v>
      </c>
      <c r="C17" s="293">
        <f>'Detailed Budget'!H80/DollarLC</f>
        <v>0</v>
      </c>
      <c r="D17" s="294">
        <f>SUM(B17:C17)</f>
        <v>230.76923076923077</v>
      </c>
    </row>
    <row r="18" spans="1:12" ht="15.6">
      <c r="A18" s="84"/>
      <c r="B18" s="287"/>
      <c r="C18" s="288"/>
      <c r="D18" s="294"/>
    </row>
    <row r="19" spans="1:12" ht="15.6">
      <c r="A19" s="296" t="str">
        <f>'Detailed Budget'!B83</f>
        <v>VIl.  SUBAWARDS/SUBCONTRACTS</v>
      </c>
      <c r="B19" s="293">
        <f>'Detailed Budget'!F85/DollarLC</f>
        <v>0</v>
      </c>
      <c r="C19" s="293">
        <f>'Detailed Budget'!H80/DollarLC</f>
        <v>0</v>
      </c>
      <c r="D19" s="294">
        <f>SUM(B19:C19)</f>
        <v>0</v>
      </c>
    </row>
    <row r="20" spans="1:12" ht="15.6">
      <c r="A20" s="85"/>
      <c r="B20" s="289"/>
      <c r="C20" s="290"/>
      <c r="D20" s="294"/>
    </row>
    <row r="21" spans="1:12" ht="15.6">
      <c r="A21" s="282" t="str">
        <f>'Detailed Budget'!B87</f>
        <v>VIII. SURVEY OPERATIONS COSTS</v>
      </c>
      <c r="B21" s="293">
        <f>'Detailed Budget'!F174/DollarLC</f>
        <v>17144.276923076923</v>
      </c>
      <c r="C21" s="293">
        <f>'Detailed Budget'!H174/DollarLC</f>
        <v>0</v>
      </c>
      <c r="D21" s="294">
        <f>SUM(B21:C21)</f>
        <v>17144.276923076923</v>
      </c>
    </row>
    <row r="22" spans="1:12" ht="15.6">
      <c r="A22" s="84"/>
      <c r="B22" s="287"/>
      <c r="C22" s="288"/>
      <c r="D22" s="294"/>
    </row>
    <row r="23" spans="1:12" ht="15.6">
      <c r="A23" s="282" t="str">
        <f>'Detailed Budget'!B176</f>
        <v>IX. PROJECT IMPLEMENTATION RELATED COSTS</v>
      </c>
      <c r="B23" s="293">
        <f>'Detailed Budget'!F184/DollarLC</f>
        <v>24423.076923076922</v>
      </c>
      <c r="C23" s="293">
        <f>'Detailed Budget'!H184/DollarLC</f>
        <v>0</v>
      </c>
      <c r="D23" s="294">
        <f>SUM(B23:C23)</f>
        <v>24423.076923076922</v>
      </c>
    </row>
    <row r="24" spans="1:12" ht="15.6">
      <c r="A24" s="84"/>
      <c r="B24" s="287"/>
      <c r="C24" s="288"/>
      <c r="D24" s="294"/>
    </row>
    <row r="25" spans="1:12" ht="15.6">
      <c r="A25" s="282" t="str">
        <f>'Detailed Budget'!B188</f>
        <v>X. OTHER DIRECT COSTS</v>
      </c>
      <c r="B25" s="293">
        <f>'Detailed Budget'!F196/DollarLC</f>
        <v>1538.4615384615386</v>
      </c>
      <c r="C25" s="293">
        <f>'Detailed Budget'!H196/DollarLC</f>
        <v>0</v>
      </c>
      <c r="D25" s="294">
        <f>SUM(B25:C25)</f>
        <v>1538.4615384615386</v>
      </c>
    </row>
    <row r="26" spans="1:12" ht="15.6">
      <c r="A26" s="84"/>
      <c r="B26" s="287"/>
      <c r="C26" s="288"/>
      <c r="D26" s="294"/>
    </row>
    <row r="27" spans="1:12" ht="15.6">
      <c r="A27" s="297" t="e">
        <f>'Detailed Budget'!#REF!</f>
        <v>#REF!</v>
      </c>
      <c r="B27" s="298">
        <f>SUM(B7:B26)</f>
        <v>55156.584615384614</v>
      </c>
      <c r="C27" s="298">
        <f>SUM(C7:C26)</f>
        <v>0</v>
      </c>
      <c r="D27" s="298">
        <f>SUM(D7:D26)</f>
        <v>55156.584615384614</v>
      </c>
    </row>
    <row r="28" spans="1:12" ht="15.6">
      <c r="A28" s="299"/>
      <c r="B28" s="300"/>
      <c r="C28" s="301"/>
      <c r="D28" s="302"/>
    </row>
    <row r="29" spans="1:12" ht="15.6">
      <c r="A29" s="282" t="str">
        <f>'Detailed Budget'!B199</f>
        <v>XI. OVERHEAD (Weiss does not fund)</v>
      </c>
      <c r="B29" s="303">
        <v>0</v>
      </c>
      <c r="C29" s="303">
        <v>0</v>
      </c>
      <c r="D29" s="304">
        <f>SUM(B29:C29)</f>
        <v>0</v>
      </c>
      <c r="J29" s="279"/>
      <c r="L29" s="279"/>
    </row>
    <row r="30" spans="1:12" ht="15.6">
      <c r="A30" s="282"/>
      <c r="B30" s="79"/>
      <c r="C30" s="91"/>
      <c r="D30" s="92"/>
    </row>
    <row r="31" spans="1:12" ht="15.6">
      <c r="A31" s="282" t="str">
        <f>'Detailed Budget'!B200</f>
        <v>XII.  SUB AWARD OVERHEAD (Weiss does not fund)</v>
      </c>
      <c r="B31" s="303">
        <v>0</v>
      </c>
      <c r="C31" s="303">
        <v>0</v>
      </c>
      <c r="D31" s="304">
        <f>SUM(B31:C31)</f>
        <v>0</v>
      </c>
    </row>
    <row r="32" spans="1:12" ht="15.6">
      <c r="A32" s="282"/>
      <c r="B32" s="305"/>
      <c r="C32" s="91"/>
      <c r="D32" s="92"/>
    </row>
    <row r="33" spans="1:4" ht="15.6">
      <c r="A33" s="306" t="str">
        <f>'Detailed Budget'!B201</f>
        <v>SUBTOTAL INDIRECT COSTS (Weiss does not fund)</v>
      </c>
      <c r="B33" s="307">
        <f>SUM(B29:B31)</f>
        <v>0</v>
      </c>
      <c r="C33" s="308">
        <f>SUM(C29:C31)</f>
        <v>0</v>
      </c>
      <c r="D33" s="309">
        <f>SUM(B33:C33)</f>
        <v>0</v>
      </c>
    </row>
    <row r="34" spans="1:4" ht="15.6" thickBot="1">
      <c r="A34" s="86"/>
      <c r="B34" s="93"/>
      <c r="C34" s="94"/>
      <c r="D34" s="95"/>
    </row>
    <row r="35" spans="1:4" ht="16.2" thickTop="1">
      <c r="A35" s="310"/>
      <c r="B35" s="311"/>
      <c r="C35" s="311"/>
      <c r="D35" s="312"/>
    </row>
    <row r="36" spans="1:4" ht="15.6">
      <c r="A36" s="313" t="str">
        <f>'Detailed Budget'!B205</f>
        <v>GRAND TOTAL OF EXPENSES</v>
      </c>
      <c r="B36" s="314">
        <f>B33+B27</f>
        <v>55156.584615384614</v>
      </c>
      <c r="C36" s="315">
        <f>C33+C27</f>
        <v>0</v>
      </c>
      <c r="D36" s="314">
        <f>D33+D27</f>
        <v>55156.584615384614</v>
      </c>
    </row>
    <row r="37" spans="1:4" ht="16.2" thickBot="1">
      <c r="A37" s="316"/>
      <c r="B37" s="97"/>
      <c r="C37" s="98"/>
      <c r="D37" s="99"/>
    </row>
    <row r="38" spans="1:4" ht="15.6" thickTop="1">
      <c r="A38" s="81"/>
      <c r="B38" s="87"/>
      <c r="C38" s="80"/>
    </row>
  </sheetData>
  <mergeCells count="5">
    <mergeCell ref="A1:D2"/>
    <mergeCell ref="D5:D6"/>
    <mergeCell ref="A5:A6"/>
    <mergeCell ref="B5:B6"/>
    <mergeCell ref="C5:C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2" sqref="C22"/>
    </sheetView>
  </sheetViews>
  <sheetFormatPr defaultColWidth="8.7265625" defaultRowHeight="13.2"/>
  <cols>
    <col min="1" max="1" width="5" bestFit="1" customWidth="1"/>
    <col min="2" max="2" width="20.54296875" customWidth="1"/>
  </cols>
  <sheetData>
    <row r="1" spans="1:6" ht="13.8" thickBot="1"/>
    <row r="2" spans="1:6" ht="13.8">
      <c r="A2" s="113" t="s">
        <v>214</v>
      </c>
      <c r="B2" s="114" t="s">
        <v>215</v>
      </c>
      <c r="C2" s="114" t="s">
        <v>216</v>
      </c>
      <c r="D2" s="114" t="s">
        <v>44</v>
      </c>
      <c r="E2" s="114" t="s">
        <v>45</v>
      </c>
      <c r="F2" s="115" t="s">
        <v>217</v>
      </c>
    </row>
    <row r="3" spans="1:6">
      <c r="A3" s="116" t="s">
        <v>203</v>
      </c>
      <c r="B3" s="109" t="s">
        <v>192</v>
      </c>
      <c r="C3" s="110">
        <f>'Summary (USD)'!B9</f>
        <v>7138.4615384615381</v>
      </c>
      <c r="D3" s="110">
        <f>'Summary (USD)'!C9</f>
        <v>0</v>
      </c>
      <c r="E3" s="110" t="e">
        <f>'Summary (USD)'!#REF!</f>
        <v>#REF!</v>
      </c>
      <c r="F3" s="117" t="e">
        <f>SUM(C3:E3)</f>
        <v>#REF!</v>
      </c>
    </row>
    <row r="4" spans="1:6">
      <c r="A4" s="116" t="s">
        <v>204</v>
      </c>
      <c r="B4" s="109" t="s">
        <v>193</v>
      </c>
      <c r="C4" s="110">
        <f>'Summary (USD)'!B11</f>
        <v>0</v>
      </c>
      <c r="D4" s="110">
        <f>'Summary (USD)'!C11</f>
        <v>0</v>
      </c>
      <c r="E4" s="110" t="e">
        <f>'Summary (USD)'!#REF!</f>
        <v>#REF!</v>
      </c>
      <c r="F4" s="117" t="e">
        <f t="shared" ref="F4:F13" si="0">SUM(C4:E4)</f>
        <v>#REF!</v>
      </c>
    </row>
    <row r="5" spans="1:6">
      <c r="A5" s="116" t="s">
        <v>205</v>
      </c>
      <c r="B5" s="109" t="s">
        <v>194</v>
      </c>
      <c r="C5" s="110">
        <f>'Summary (USD)'!B13</f>
        <v>4612.3076923076924</v>
      </c>
      <c r="D5" s="110">
        <f>'Summary (USD)'!C13</f>
        <v>0</v>
      </c>
      <c r="E5" s="110" t="e">
        <f>'Summary (USD)'!#REF!</f>
        <v>#REF!</v>
      </c>
      <c r="F5" s="117" t="e">
        <f t="shared" si="0"/>
        <v>#REF!</v>
      </c>
    </row>
    <row r="6" spans="1:6">
      <c r="A6" s="116" t="s">
        <v>206</v>
      </c>
      <c r="B6" s="109" t="s">
        <v>195</v>
      </c>
      <c r="C6" s="110">
        <f>'Summary (USD)'!B17</f>
        <v>230.76923076923077</v>
      </c>
      <c r="D6" s="110">
        <f>'Summary (USD)'!C17</f>
        <v>0</v>
      </c>
      <c r="E6" s="110" t="e">
        <f>'Summary (USD)'!#REF!</f>
        <v>#REF!</v>
      </c>
      <c r="F6" s="117" t="e">
        <f t="shared" si="0"/>
        <v>#REF!</v>
      </c>
    </row>
    <row r="7" spans="1:6">
      <c r="A7" s="116" t="s">
        <v>207</v>
      </c>
      <c r="B7" s="109" t="s">
        <v>196</v>
      </c>
      <c r="C7" s="110">
        <f>'Summary (USD)'!B21</f>
        <v>17144.276923076923</v>
      </c>
      <c r="D7" s="110">
        <f>'Summary (USD)'!C21</f>
        <v>0</v>
      </c>
      <c r="E7" s="110" t="e">
        <f>'Summary (USD)'!#REF!</f>
        <v>#REF!</v>
      </c>
      <c r="F7" s="117" t="e">
        <f t="shared" si="0"/>
        <v>#REF!</v>
      </c>
    </row>
    <row r="8" spans="1:6">
      <c r="A8" s="116" t="s">
        <v>208</v>
      </c>
      <c r="B8" s="109" t="s">
        <v>197</v>
      </c>
      <c r="C8" s="109"/>
      <c r="D8" s="109"/>
      <c r="E8" s="109"/>
      <c r="F8" s="117">
        <f t="shared" si="0"/>
        <v>0</v>
      </c>
    </row>
    <row r="9" spans="1:6">
      <c r="A9" s="116" t="s">
        <v>209</v>
      </c>
      <c r="B9" s="109" t="s">
        <v>198</v>
      </c>
      <c r="C9" s="109">
        <v>0</v>
      </c>
      <c r="D9" s="109">
        <v>0</v>
      </c>
      <c r="E9" s="109">
        <v>0</v>
      </c>
      <c r="F9" s="117">
        <f t="shared" si="0"/>
        <v>0</v>
      </c>
    </row>
    <row r="10" spans="1:6">
      <c r="A10" s="116" t="s">
        <v>210</v>
      </c>
      <c r="B10" s="109" t="s">
        <v>199</v>
      </c>
      <c r="C10" s="110" t="e">
        <f>'Summary (USD)'!B25+'Summary (USD)'!#REF!</f>
        <v>#REF!</v>
      </c>
      <c r="D10" s="110" t="e">
        <f>'Summary (USD)'!C25+'Summary (USD)'!#REF!</f>
        <v>#REF!</v>
      </c>
      <c r="E10" s="110" t="e">
        <f>'Summary (USD)'!#REF!+'Summary (USD)'!#REF!</f>
        <v>#REF!</v>
      </c>
      <c r="F10" s="117" t="e">
        <f t="shared" si="0"/>
        <v>#REF!</v>
      </c>
    </row>
    <row r="11" spans="1:6" ht="13.8">
      <c r="A11" s="116" t="s">
        <v>211</v>
      </c>
      <c r="B11" s="111" t="s">
        <v>200</v>
      </c>
      <c r="C11" s="112" t="e">
        <f>SUM(C3:C10)</f>
        <v>#REF!</v>
      </c>
      <c r="D11" s="112" t="e">
        <f>SUM(D3:D10)</f>
        <v>#REF!</v>
      </c>
      <c r="E11" s="112" t="e">
        <f>SUM(E3:E10)</f>
        <v>#REF!</v>
      </c>
      <c r="F11" s="118" t="e">
        <f t="shared" si="0"/>
        <v>#REF!</v>
      </c>
    </row>
    <row r="12" spans="1:6">
      <c r="A12" s="116" t="s">
        <v>212</v>
      </c>
      <c r="B12" s="109" t="s">
        <v>201</v>
      </c>
      <c r="C12" s="110">
        <f>'Summary (USD)'!B29</f>
        <v>0</v>
      </c>
      <c r="D12" s="110">
        <f>'Summary (USD)'!C29</f>
        <v>0</v>
      </c>
      <c r="E12" s="110" t="e">
        <f>'Summary (USD)'!#REF!</f>
        <v>#REF!</v>
      </c>
      <c r="F12" s="117" t="e">
        <f t="shared" si="0"/>
        <v>#REF!</v>
      </c>
    </row>
    <row r="13" spans="1:6" ht="14.4" thickBot="1">
      <c r="A13" s="119" t="s">
        <v>213</v>
      </c>
      <c r="B13" s="120" t="s">
        <v>202</v>
      </c>
      <c r="C13" s="121" t="e">
        <f>C11+C12</f>
        <v>#REF!</v>
      </c>
      <c r="D13" s="121" t="e">
        <f>D11+D12</f>
        <v>#REF!</v>
      </c>
      <c r="E13" s="121" t="e">
        <f>E11+E12</f>
        <v>#REF!</v>
      </c>
      <c r="F13" s="122" t="e">
        <f t="shared" si="0"/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S214"/>
  <sheetViews>
    <sheetView showOutlineSymbols="0" view="pageBreakPreview" zoomScale="80" zoomScaleNormal="50" zoomScaleSheetLayoutView="80" zoomScalePageLayoutView="5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A7" sqref="A7:A9"/>
    </sheetView>
  </sheetViews>
  <sheetFormatPr defaultColWidth="9.7265625" defaultRowHeight="13.8"/>
  <cols>
    <col min="1" max="1" width="17" style="275" bestFit="1" customWidth="1"/>
    <col min="2" max="2" width="46.7265625" style="276" customWidth="1"/>
    <col min="3" max="3" width="12.26953125" style="155" customWidth="1"/>
    <col min="4" max="4" width="10" style="124" customWidth="1"/>
    <col min="5" max="5" width="11.26953125" style="124" customWidth="1"/>
    <col min="6" max="6" width="17.453125" style="140" bestFit="1" customWidth="1"/>
    <col min="7" max="7" width="11.7265625" style="155" customWidth="1"/>
    <col min="8" max="8" width="16.54296875" style="164" bestFit="1" customWidth="1"/>
    <col min="9" max="9" width="11.7265625" style="155" hidden="1" customWidth="1"/>
    <col min="10" max="10" width="15.1796875" style="164" hidden="1" customWidth="1"/>
    <col min="11" max="11" width="12.7265625" style="164" hidden="1" customWidth="1"/>
    <col min="12" max="12" width="10.7265625" style="164" hidden="1" customWidth="1"/>
    <col min="13" max="13" width="12.1796875" style="164" hidden="1" customWidth="1"/>
    <col min="14" max="14" width="10.7265625" style="164" hidden="1" customWidth="1"/>
    <col min="15" max="15" width="12.1796875" style="164" hidden="1" customWidth="1"/>
    <col min="16" max="16" width="11.26953125" style="124" bestFit="1" customWidth="1"/>
    <col min="17" max="17" width="24" style="163" bestFit="1" customWidth="1"/>
    <col min="18" max="18" width="15.26953125" style="164" bestFit="1" customWidth="1"/>
    <col min="19" max="19" width="14.7265625" style="137" hidden="1" customWidth="1"/>
    <col min="20" max="20" width="13.26953125" style="137" hidden="1" customWidth="1"/>
    <col min="21" max="21" width="15.453125" style="160" hidden="1" customWidth="1"/>
    <col min="22" max="22" width="12.54296875" style="160" hidden="1" customWidth="1"/>
    <col min="23" max="23" width="12.26953125" style="160" hidden="1" customWidth="1"/>
    <col min="24" max="24" width="9.7265625" style="160" hidden="1" customWidth="1"/>
    <col min="25" max="25" width="12.26953125" style="161" hidden="1" customWidth="1"/>
    <col min="26" max="26" width="9.7265625" style="161" hidden="1" customWidth="1"/>
    <col min="27" max="27" width="13.81640625" style="161" hidden="1" customWidth="1"/>
    <col min="28" max="41" width="9.7265625" style="161" hidden="1" customWidth="1"/>
    <col min="42" max="16384" width="9.7265625" style="161"/>
  </cols>
  <sheetData>
    <row r="1" spans="1:253">
      <c r="A1" s="361"/>
      <c r="B1" s="361"/>
      <c r="C1" s="136"/>
      <c r="D1" s="123"/>
      <c r="E1" s="123"/>
      <c r="F1" s="155"/>
      <c r="G1" s="156"/>
      <c r="H1" s="156" t="s">
        <v>216</v>
      </c>
      <c r="I1" s="157" t="s">
        <v>44</v>
      </c>
      <c r="J1" s="157" t="s">
        <v>45</v>
      </c>
      <c r="K1" s="157"/>
      <c r="L1" s="157" t="s">
        <v>46</v>
      </c>
      <c r="M1" s="157" t="s">
        <v>47</v>
      </c>
      <c r="N1" s="136"/>
      <c r="O1" s="136"/>
      <c r="P1" s="123"/>
      <c r="Q1" s="158"/>
      <c r="R1" s="159"/>
    </row>
    <row r="2" spans="1:253" ht="14.4">
      <c r="A2" s="361"/>
      <c r="B2" s="361"/>
      <c r="C2" s="286" t="s">
        <v>43</v>
      </c>
      <c r="D2" s="139">
        <f>DollarLC</f>
        <v>65</v>
      </c>
      <c r="E2" s="123"/>
      <c r="F2" s="155"/>
      <c r="G2" s="140" t="s">
        <v>170</v>
      </c>
      <c r="H2" s="140"/>
      <c r="I2" s="162">
        <f>usinflation_yr2</f>
        <v>1.1000000000000001</v>
      </c>
      <c r="J2" s="162">
        <f>usinflation_yr3</f>
        <v>1.2100000000000002</v>
      </c>
      <c r="K2" s="162"/>
      <c r="L2" s="162">
        <f>usinflation_yr4</f>
        <v>1.3310000000000004</v>
      </c>
      <c r="M2" s="162">
        <f>usinflation_yr5</f>
        <v>1.4641000000000006</v>
      </c>
      <c r="N2" s="163"/>
    </row>
    <row r="3" spans="1:253">
      <c r="C3" s="141"/>
      <c r="F3" s="155"/>
      <c r="G3" s="140" t="s">
        <v>171</v>
      </c>
      <c r="H3" s="140"/>
      <c r="I3" s="162">
        <f>localinflation_yr2</f>
        <v>1</v>
      </c>
      <c r="J3" s="162">
        <f>localinflation_yr3</f>
        <v>1</v>
      </c>
      <c r="K3" s="162"/>
      <c r="L3" s="162">
        <f>localinflation_yr4</f>
        <v>1</v>
      </c>
      <c r="M3" s="162">
        <f>localinflation_yr5</f>
        <v>1</v>
      </c>
      <c r="N3" s="163"/>
    </row>
    <row r="4" spans="1:253">
      <c r="A4" s="361" t="s">
        <v>358</v>
      </c>
      <c r="B4" s="361"/>
      <c r="C4" s="141"/>
      <c r="F4" s="155"/>
      <c r="G4" s="140" t="s">
        <v>355</v>
      </c>
      <c r="H4" s="167">
        <v>1</v>
      </c>
      <c r="I4" s="162"/>
      <c r="J4" s="162"/>
      <c r="K4" s="162"/>
      <c r="L4" s="162"/>
      <c r="M4" s="162"/>
      <c r="N4" s="163"/>
      <c r="P4" s="168">
        <v>0</v>
      </c>
    </row>
    <row r="5" spans="1:253">
      <c r="A5" s="165" t="s">
        <v>389</v>
      </c>
      <c r="B5" s="166"/>
      <c r="C5" s="141"/>
      <c r="H5" s="140"/>
      <c r="I5" s="162"/>
      <c r="J5" s="162"/>
      <c r="K5" s="162"/>
      <c r="L5" s="162"/>
      <c r="M5" s="162"/>
      <c r="N5" s="163"/>
    </row>
    <row r="6" spans="1:253" ht="14.4" thickBot="1">
      <c r="A6" s="169" t="s">
        <v>390</v>
      </c>
      <c r="B6" s="170"/>
      <c r="C6" s="142"/>
      <c r="G6" s="141"/>
      <c r="H6" s="171"/>
      <c r="I6" s="138"/>
      <c r="J6" s="141"/>
      <c r="K6" s="141"/>
      <c r="L6" s="141"/>
      <c r="M6" s="141"/>
      <c r="N6" s="141"/>
      <c r="O6" s="141"/>
    </row>
    <row r="7" spans="1:253" ht="18.75" customHeight="1" thickTop="1">
      <c r="A7" s="362" t="s">
        <v>386</v>
      </c>
      <c r="B7" s="365" t="s">
        <v>2</v>
      </c>
      <c r="C7" s="371" t="s">
        <v>39</v>
      </c>
      <c r="D7" s="368" t="s">
        <v>40</v>
      </c>
      <c r="E7" s="357" t="s">
        <v>356</v>
      </c>
      <c r="F7" s="354"/>
      <c r="G7" s="357" t="s">
        <v>303</v>
      </c>
      <c r="H7" s="354"/>
      <c r="I7" s="357" t="s">
        <v>228</v>
      </c>
      <c r="J7" s="354"/>
      <c r="K7" s="358"/>
      <c r="L7" s="357" t="s">
        <v>110</v>
      </c>
      <c r="M7" s="358"/>
      <c r="N7" s="353" t="s">
        <v>21</v>
      </c>
      <c r="O7" s="354"/>
      <c r="P7" s="359" t="s">
        <v>1</v>
      </c>
      <c r="Q7" s="360"/>
      <c r="R7" s="172" t="s">
        <v>1</v>
      </c>
      <c r="S7" s="349" t="s">
        <v>86</v>
      </c>
      <c r="T7" s="350"/>
    </row>
    <row r="8" spans="1:253" ht="18.75" customHeight="1">
      <c r="A8" s="363"/>
      <c r="B8" s="366"/>
      <c r="C8" s="372"/>
      <c r="D8" s="369"/>
      <c r="E8" s="351" t="s">
        <v>3</v>
      </c>
      <c r="F8" s="280" t="s">
        <v>231</v>
      </c>
      <c r="G8" s="351" t="s">
        <v>3</v>
      </c>
      <c r="H8" s="280" t="s">
        <v>231</v>
      </c>
      <c r="I8" s="351" t="s">
        <v>3</v>
      </c>
      <c r="J8" s="355" t="s">
        <v>231</v>
      </c>
      <c r="K8" s="356"/>
      <c r="L8" s="173"/>
      <c r="M8" s="174"/>
      <c r="N8" s="174"/>
      <c r="O8" s="174"/>
      <c r="P8" s="175"/>
      <c r="Q8" s="176"/>
      <c r="R8" s="177"/>
      <c r="S8" s="349"/>
      <c r="T8" s="350"/>
    </row>
    <row r="9" spans="1:253" ht="23.25" customHeight="1" thickBot="1">
      <c r="A9" s="364"/>
      <c r="B9" s="367"/>
      <c r="C9" s="373"/>
      <c r="D9" s="370"/>
      <c r="E9" s="352"/>
      <c r="F9" s="178" t="s">
        <v>387</v>
      </c>
      <c r="G9" s="352"/>
      <c r="H9" s="178" t="s">
        <v>387</v>
      </c>
      <c r="I9" s="352"/>
      <c r="J9" s="178" t="s">
        <v>232</v>
      </c>
      <c r="K9" s="178">
        <f>$B$6</f>
        <v>0</v>
      </c>
      <c r="L9" s="179" t="s">
        <v>3</v>
      </c>
      <c r="M9" s="180" t="s">
        <v>4</v>
      </c>
      <c r="N9" s="179" t="s">
        <v>3</v>
      </c>
      <c r="O9" s="180" t="s">
        <v>4</v>
      </c>
      <c r="P9" s="181" t="s">
        <v>3</v>
      </c>
      <c r="Q9" s="182" t="s">
        <v>388</v>
      </c>
      <c r="R9" s="183" t="s">
        <v>373</v>
      </c>
      <c r="S9" s="349"/>
      <c r="T9" s="350"/>
      <c r="U9" s="160" t="s">
        <v>76</v>
      </c>
      <c r="V9" s="160" t="s">
        <v>77</v>
      </c>
      <c r="W9" s="160" t="s">
        <v>78</v>
      </c>
      <c r="X9" s="160" t="s">
        <v>79</v>
      </c>
      <c r="Y9" s="161" t="s">
        <v>80</v>
      </c>
      <c r="Z9" s="161" t="s">
        <v>81</v>
      </c>
      <c r="AA9" s="161" t="s">
        <v>82</v>
      </c>
      <c r="AB9" s="161" t="s">
        <v>83</v>
      </c>
      <c r="AC9" s="161" t="s">
        <v>84</v>
      </c>
      <c r="AD9" s="160" t="s">
        <v>76</v>
      </c>
      <c r="AE9" s="160" t="s">
        <v>77</v>
      </c>
      <c r="AF9" s="160" t="s">
        <v>78</v>
      </c>
      <c r="AG9" s="160" t="s">
        <v>79</v>
      </c>
    </row>
    <row r="10" spans="1:253" ht="14.4" thickTop="1">
      <c r="A10" s="184"/>
      <c r="B10" s="185" t="s">
        <v>108</v>
      </c>
      <c r="C10" s="145"/>
      <c r="D10" s="186"/>
      <c r="E10" s="187"/>
      <c r="F10" s="186"/>
      <c r="G10" s="188"/>
      <c r="H10" s="188"/>
      <c r="I10" s="188"/>
      <c r="J10" s="188"/>
      <c r="K10" s="189"/>
      <c r="L10" s="188"/>
      <c r="M10" s="188"/>
      <c r="N10" s="190"/>
      <c r="O10" s="188"/>
      <c r="P10" s="191"/>
      <c r="Q10" s="188"/>
      <c r="R10" s="283"/>
      <c r="S10" s="192" t="s">
        <v>0</v>
      </c>
      <c r="T10" s="192" t="s">
        <v>87</v>
      </c>
      <c r="U10" s="193"/>
      <c r="V10" s="193"/>
      <c r="W10" s="193"/>
      <c r="X10" s="193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</row>
    <row r="11" spans="1:253">
      <c r="A11" s="195"/>
      <c r="B11" s="196" t="s">
        <v>379</v>
      </c>
      <c r="C11" s="143" t="s">
        <v>6</v>
      </c>
      <c r="D11" s="197">
        <v>0</v>
      </c>
      <c r="E11" s="198">
        <v>0</v>
      </c>
      <c r="F11" s="199">
        <f>ROUND(E11*D11,0)</f>
        <v>0</v>
      </c>
      <c r="G11" s="201">
        <v>0</v>
      </c>
      <c r="H11" s="201">
        <f>ROUND(G11*D11*usinflation_yr2,0)</f>
        <v>0</v>
      </c>
      <c r="I11" s="201">
        <v>0</v>
      </c>
      <c r="J11" s="201">
        <f>ROUND(I11*D11*usinflation_yr3,0)</f>
        <v>0</v>
      </c>
      <c r="K11" s="200">
        <f>J11/$D$2</f>
        <v>0</v>
      </c>
      <c r="L11" s="201">
        <v>0</v>
      </c>
      <c r="M11" s="201">
        <f>ROUND(L11*D11*usinflation_yr4,0)</f>
        <v>0</v>
      </c>
      <c r="N11" s="202">
        <v>0</v>
      </c>
      <c r="O11" s="201">
        <f>ROUND(N11*D11*usinflation_yr5,0)</f>
        <v>0</v>
      </c>
      <c r="P11" s="203">
        <f>E11+G11+I11+L11+N11</f>
        <v>0</v>
      </c>
      <c r="Q11" s="201">
        <f>O11+M11+J11+H11+F11</f>
        <v>0</v>
      </c>
      <c r="R11" s="284">
        <f>+Q11/DollarLC</f>
        <v>0</v>
      </c>
      <c r="S11" s="204">
        <f>+D11*E11</f>
        <v>0</v>
      </c>
      <c r="T11" s="204">
        <f>+S11-F11</f>
        <v>0</v>
      </c>
      <c r="U11" s="160">
        <v>0.4</v>
      </c>
      <c r="V11" s="160">
        <v>0.2</v>
      </c>
      <c r="W11" s="160">
        <v>0.4</v>
      </c>
      <c r="Y11" s="159"/>
      <c r="Z11" s="205"/>
      <c r="AA11" s="205"/>
      <c r="AB11" s="205"/>
      <c r="AC11" s="205"/>
      <c r="AD11" s="159">
        <f>$R11*U11</f>
        <v>0</v>
      </c>
      <c r="AE11" s="159">
        <f>$R11*V11</f>
        <v>0</v>
      </c>
      <c r="AF11" s="159">
        <f>$R11*W11</f>
        <v>0</v>
      </c>
      <c r="AG11" s="159">
        <f>$R11*X11</f>
        <v>0</v>
      </c>
    </row>
    <row r="12" spans="1:253">
      <c r="A12" s="195"/>
      <c r="B12" s="196" t="s">
        <v>380</v>
      </c>
      <c r="C12" s="143" t="s">
        <v>6</v>
      </c>
      <c r="D12" s="206">
        <v>0</v>
      </c>
      <c r="E12" s="198">
        <v>0</v>
      </c>
      <c r="F12" s="199">
        <f>ROUND(E12*D12,0)</f>
        <v>0</v>
      </c>
      <c r="G12" s="201">
        <v>0</v>
      </c>
      <c r="H12" s="201">
        <f>ROUND(G12*D12*usinflation_yr2,0)</f>
        <v>0</v>
      </c>
      <c r="I12" s="201">
        <v>0</v>
      </c>
      <c r="J12" s="201">
        <f>ROUND(I12*D12*usinflation_yr3,0)</f>
        <v>0</v>
      </c>
      <c r="K12" s="200">
        <f>J12/$D$2</f>
        <v>0</v>
      </c>
      <c r="L12" s="201">
        <v>0</v>
      </c>
      <c r="M12" s="201">
        <f>ROUND(L12*D12*usinflation_yr4,0)</f>
        <v>0</v>
      </c>
      <c r="N12" s="202">
        <v>0</v>
      </c>
      <c r="O12" s="201">
        <f>ROUND(N12*D12*usinflation_yr5,0)</f>
        <v>0</v>
      </c>
      <c r="P12" s="203">
        <f>E12+G12+I12+L12+N12</f>
        <v>0</v>
      </c>
      <c r="Q12" s="201">
        <f>O12+M12+J12+H12+F12</f>
        <v>0</v>
      </c>
      <c r="R12" s="284">
        <f>+Q12/DollarLC</f>
        <v>0</v>
      </c>
      <c r="S12" s="204">
        <f>+D12*E12</f>
        <v>0</v>
      </c>
      <c r="T12" s="204"/>
      <c r="Y12" s="159"/>
    </row>
    <row r="13" spans="1:253">
      <c r="A13" s="207"/>
      <c r="B13" s="196" t="s">
        <v>381</v>
      </c>
      <c r="C13" s="143" t="s">
        <v>6</v>
      </c>
      <c r="D13" s="206">
        <v>0</v>
      </c>
      <c r="E13" s="198">
        <v>0</v>
      </c>
      <c r="F13" s="199">
        <f>ROUND(E13*D13,0)</f>
        <v>0</v>
      </c>
      <c r="G13" s="201">
        <v>0</v>
      </c>
      <c r="H13" s="201">
        <f>ROUND(G13*D13*usinflation_yr2,0)</f>
        <v>0</v>
      </c>
      <c r="I13" s="201">
        <v>0</v>
      </c>
      <c r="J13" s="201">
        <f>ROUND(I13*D13*usinflation_yr3,0)</f>
        <v>0</v>
      </c>
      <c r="K13" s="200">
        <f>J13/$D$2</f>
        <v>0</v>
      </c>
      <c r="L13" s="201">
        <v>0</v>
      </c>
      <c r="M13" s="201">
        <f>ROUND(L13*D13*usinflation_yr4,0)</f>
        <v>0</v>
      </c>
      <c r="N13" s="202">
        <v>0</v>
      </c>
      <c r="O13" s="201">
        <f>ROUND(N13*D13*usinflation_yr5,0)</f>
        <v>0</v>
      </c>
      <c r="P13" s="203">
        <f>E13+G13+I13+L13+N13</f>
        <v>0</v>
      </c>
      <c r="Q13" s="201">
        <f>O13+M13+J13+H13+F13</f>
        <v>0</v>
      </c>
      <c r="R13" s="284">
        <f>+Q13/DollarLC</f>
        <v>0</v>
      </c>
      <c r="S13" s="204">
        <f>+D13*E13</f>
        <v>0</v>
      </c>
      <c r="T13" s="204"/>
      <c r="Y13" s="159"/>
    </row>
    <row r="14" spans="1:253">
      <c r="A14" s="195"/>
      <c r="B14" s="196" t="s">
        <v>382</v>
      </c>
      <c r="C14" s="143" t="s">
        <v>6</v>
      </c>
      <c r="D14" s="206">
        <v>0</v>
      </c>
      <c r="E14" s="198">
        <v>0</v>
      </c>
      <c r="F14" s="199">
        <f>ROUND(E14*D14,0)</f>
        <v>0</v>
      </c>
      <c r="G14" s="201">
        <v>0</v>
      </c>
      <c r="H14" s="201">
        <f>ROUND(G14*D14*usinflation_yr2,0)</f>
        <v>0</v>
      </c>
      <c r="I14" s="201">
        <v>0</v>
      </c>
      <c r="J14" s="201">
        <f>ROUND(I14*D14*usinflation_yr3,0)</f>
        <v>0</v>
      </c>
      <c r="K14" s="200">
        <f>J14/$D$2</f>
        <v>0</v>
      </c>
      <c r="L14" s="201">
        <v>0</v>
      </c>
      <c r="M14" s="201">
        <f>ROUND(L14*D14*usinflation_yr4,0)</f>
        <v>0</v>
      </c>
      <c r="N14" s="202">
        <v>0</v>
      </c>
      <c r="O14" s="201">
        <f>ROUND(N14*D14*usinflation_yr5,0)</f>
        <v>0</v>
      </c>
      <c r="P14" s="203">
        <f>E14+G14+I14+L14+N14</f>
        <v>0</v>
      </c>
      <c r="Q14" s="201">
        <f>O14+M14+J14+H14+F14</f>
        <v>0</v>
      </c>
      <c r="R14" s="284">
        <f>+Q14/DollarLC</f>
        <v>0</v>
      </c>
      <c r="S14" s="204">
        <f>+D14*E14</f>
        <v>0</v>
      </c>
      <c r="T14" s="204"/>
      <c r="Y14" s="159"/>
    </row>
    <row r="15" spans="1:253" s="332" customFormat="1">
      <c r="A15" s="317"/>
      <c r="B15" s="318" t="s">
        <v>111</v>
      </c>
      <c r="C15" s="319"/>
      <c r="D15" s="320"/>
      <c r="E15" s="321"/>
      <c r="F15" s="322">
        <f>SUM(F11:F14)</f>
        <v>0</v>
      </c>
      <c r="G15" s="322"/>
      <c r="H15" s="322">
        <f>SUM(H11:H14)</f>
        <v>0</v>
      </c>
      <c r="I15" s="322"/>
      <c r="J15" s="322">
        <f>SUM(J11:J14)</f>
        <v>0</v>
      </c>
      <c r="K15" s="322">
        <f>SUM(K11:K14)</f>
        <v>0</v>
      </c>
      <c r="L15" s="322"/>
      <c r="M15" s="323">
        <f>SUM(M11:M14)</f>
        <v>0</v>
      </c>
      <c r="N15" s="321"/>
      <c r="O15" s="323">
        <f>SUM(O11:O14)</f>
        <v>0</v>
      </c>
      <c r="P15" s="324"/>
      <c r="Q15" s="322">
        <f>O15+M15+J15+H15+F15</f>
        <v>0</v>
      </c>
      <c r="R15" s="325">
        <f>F15+H15+J15+M15+O15</f>
        <v>0</v>
      </c>
      <c r="S15" s="326"/>
      <c r="T15" s="326"/>
      <c r="U15" s="327"/>
      <c r="V15" s="327"/>
      <c r="W15" s="327"/>
      <c r="X15" s="328"/>
      <c r="Y15" s="329"/>
      <c r="Z15" s="330">
        <v>0.25</v>
      </c>
      <c r="AA15" s="330">
        <v>0.25</v>
      </c>
      <c r="AB15" s="330">
        <v>0.25</v>
      </c>
      <c r="AC15" s="330">
        <v>0.25</v>
      </c>
      <c r="AD15" s="331"/>
      <c r="AE15" s="331"/>
      <c r="AF15" s="331"/>
      <c r="AG15" s="331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29"/>
      <c r="FK15" s="329"/>
      <c r="FL15" s="329"/>
      <c r="FM15" s="329"/>
      <c r="FN15" s="329"/>
      <c r="FO15" s="329"/>
      <c r="FP15" s="329"/>
      <c r="FQ15" s="329"/>
      <c r="FR15" s="329"/>
      <c r="FS15" s="329"/>
      <c r="FT15" s="329"/>
      <c r="FU15" s="329"/>
      <c r="FV15" s="329"/>
      <c r="FW15" s="329"/>
      <c r="FX15" s="329"/>
      <c r="FY15" s="329"/>
      <c r="FZ15" s="329"/>
      <c r="GA15" s="329"/>
      <c r="GB15" s="329"/>
      <c r="GC15" s="329"/>
      <c r="GD15" s="329"/>
      <c r="GE15" s="329"/>
      <c r="GF15" s="329"/>
      <c r="GG15" s="329"/>
      <c r="GH15" s="329"/>
      <c r="GI15" s="329"/>
      <c r="GJ15" s="329"/>
      <c r="GK15" s="329"/>
      <c r="GL15" s="329"/>
      <c r="GM15" s="329"/>
      <c r="GN15" s="329"/>
      <c r="GO15" s="329"/>
      <c r="GP15" s="329"/>
      <c r="GQ15" s="329"/>
      <c r="GR15" s="329"/>
      <c r="GS15" s="329"/>
      <c r="GT15" s="329"/>
      <c r="GU15" s="329"/>
      <c r="GV15" s="329"/>
      <c r="GW15" s="329"/>
      <c r="GX15" s="329"/>
      <c r="GY15" s="329"/>
      <c r="GZ15" s="329"/>
      <c r="HA15" s="329"/>
      <c r="HB15" s="329"/>
      <c r="HC15" s="329"/>
      <c r="HD15" s="329"/>
      <c r="HE15" s="329"/>
      <c r="HF15" s="329"/>
      <c r="HG15" s="329"/>
      <c r="HH15" s="329"/>
      <c r="HI15" s="329"/>
      <c r="HJ15" s="329"/>
      <c r="HK15" s="329"/>
      <c r="HL15" s="329"/>
      <c r="HM15" s="329"/>
      <c r="HN15" s="329"/>
      <c r="HO15" s="329"/>
      <c r="HP15" s="329"/>
      <c r="HQ15" s="329"/>
      <c r="HR15" s="329"/>
      <c r="HS15" s="329"/>
      <c r="HT15" s="329"/>
      <c r="HU15" s="329"/>
      <c r="HV15" s="329"/>
      <c r="HW15" s="329"/>
      <c r="HX15" s="329"/>
      <c r="HY15" s="329"/>
      <c r="HZ15" s="329"/>
      <c r="IA15" s="329"/>
      <c r="IB15" s="329"/>
      <c r="IC15" s="329"/>
      <c r="ID15" s="329"/>
      <c r="IE15" s="329"/>
      <c r="IF15" s="329"/>
      <c r="IG15" s="329"/>
      <c r="IH15" s="329"/>
      <c r="II15" s="329"/>
      <c r="IJ15" s="329"/>
      <c r="IK15" s="329"/>
      <c r="IL15" s="329"/>
      <c r="IM15" s="329"/>
      <c r="IN15" s="329"/>
      <c r="IO15" s="329"/>
      <c r="IP15" s="329"/>
      <c r="IQ15" s="329"/>
      <c r="IR15" s="329"/>
      <c r="IS15" s="329"/>
    </row>
    <row r="16" spans="1:253">
      <c r="A16" s="195"/>
      <c r="B16" s="208"/>
      <c r="C16" s="144"/>
      <c r="D16" s="209"/>
      <c r="E16" s="210"/>
      <c r="F16" s="211"/>
      <c r="G16" s="211"/>
      <c r="H16" s="211"/>
      <c r="I16" s="211"/>
      <c r="J16" s="211"/>
      <c r="K16" s="212"/>
      <c r="L16" s="211"/>
      <c r="M16" s="211"/>
      <c r="N16" s="210"/>
      <c r="O16" s="211"/>
      <c r="P16" s="203"/>
      <c r="Q16" s="201"/>
      <c r="R16" s="284"/>
      <c r="S16" s="204"/>
      <c r="T16" s="204"/>
      <c r="U16" s="193"/>
      <c r="V16" s="193"/>
      <c r="W16" s="193"/>
      <c r="X16" s="214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  <c r="IJ16" s="215"/>
      <c r="IK16" s="215"/>
      <c r="IL16" s="215"/>
      <c r="IM16" s="215"/>
      <c r="IN16" s="215"/>
      <c r="IO16" s="215"/>
      <c r="IP16" s="215"/>
      <c r="IQ16" s="215"/>
      <c r="IR16" s="215"/>
      <c r="IS16" s="215"/>
    </row>
    <row r="17" spans="1:33">
      <c r="A17" s="195"/>
      <c r="B17" s="185" t="s">
        <v>7</v>
      </c>
      <c r="C17" s="143"/>
      <c r="D17" s="216"/>
      <c r="E17" s="202"/>
      <c r="F17" s="201"/>
      <c r="G17" s="201"/>
      <c r="H17" s="201"/>
      <c r="I17" s="201"/>
      <c r="J17" s="201"/>
      <c r="K17" s="217"/>
      <c r="L17" s="201"/>
      <c r="M17" s="201"/>
      <c r="N17" s="202"/>
      <c r="O17" s="201"/>
      <c r="P17" s="203"/>
      <c r="Q17" s="201"/>
      <c r="R17" s="284"/>
      <c r="S17" s="204"/>
      <c r="T17" s="204"/>
    </row>
    <row r="18" spans="1:33">
      <c r="A18" s="195"/>
      <c r="B18" s="218" t="s">
        <v>223</v>
      </c>
      <c r="C18" s="143"/>
      <c r="D18" s="216"/>
      <c r="E18" s="202"/>
      <c r="F18" s="201"/>
      <c r="G18" s="201"/>
      <c r="H18" s="201"/>
      <c r="I18" s="201"/>
      <c r="J18" s="201"/>
      <c r="K18" s="217"/>
      <c r="L18" s="201"/>
      <c r="M18" s="201"/>
      <c r="N18" s="202"/>
      <c r="O18" s="201"/>
      <c r="P18" s="203"/>
      <c r="Q18" s="201"/>
      <c r="R18" s="284"/>
      <c r="S18" s="204"/>
      <c r="T18" s="204"/>
    </row>
    <row r="19" spans="1:33">
      <c r="A19" s="195"/>
      <c r="B19" s="196" t="s">
        <v>112</v>
      </c>
      <c r="C19" s="143" t="s">
        <v>8</v>
      </c>
      <c r="D19" s="216">
        <v>0</v>
      </c>
      <c r="E19" s="202">
        <v>0</v>
      </c>
      <c r="F19" s="201">
        <f t="shared" ref="F19:F24" si="0">ROUND(E19*D19,0)</f>
        <v>0</v>
      </c>
      <c r="G19" s="201">
        <v>0</v>
      </c>
      <c r="H19" s="201">
        <f t="shared" ref="H19:H37" si="1">ROUND(G19*D19*localinflation_yr2,0)</f>
        <v>0</v>
      </c>
      <c r="I19" s="201">
        <v>0</v>
      </c>
      <c r="J19" s="201">
        <f t="shared" ref="J19:J27" si="2">ROUND(I19*D19*localinflation_yr3,0)</f>
        <v>0</v>
      </c>
      <c r="K19" s="200">
        <f t="shared" ref="K19:K37" si="3">J19/$D$2</f>
        <v>0</v>
      </c>
      <c r="L19" s="201">
        <v>0</v>
      </c>
      <c r="M19" s="201">
        <f t="shared" ref="M19:M27" si="4">ROUND(L19*D19*localinflation_yr4,0)</f>
        <v>0</v>
      </c>
      <c r="N19" s="202">
        <v>0</v>
      </c>
      <c r="O19" s="201">
        <f t="shared" ref="O19:O27" si="5">ROUND(N19*D19*localinflation_yr5,0)</f>
        <v>0</v>
      </c>
      <c r="P19" s="203">
        <f t="shared" ref="P19:P38" si="6">E19+G19+I19+L19+N19</f>
        <v>0</v>
      </c>
      <c r="Q19" s="201">
        <f t="shared" ref="Q19:Q39" si="7">O19+M19+J19+H19+F19</f>
        <v>0</v>
      </c>
      <c r="R19" s="284">
        <f t="shared" ref="R19:R37" si="8">+Q19/DollarLC</f>
        <v>0</v>
      </c>
      <c r="S19" s="204">
        <f t="shared" ref="S19:S34" si="9">+D19*E19</f>
        <v>0</v>
      </c>
      <c r="T19" s="204">
        <f t="shared" ref="T19:T34" si="10">+S19-F19</f>
        <v>0</v>
      </c>
      <c r="U19" s="160">
        <v>0.2</v>
      </c>
      <c r="V19" s="160">
        <v>0.2</v>
      </c>
      <c r="W19" s="160">
        <v>0.6</v>
      </c>
      <c r="Z19" s="205">
        <v>0.25</v>
      </c>
      <c r="AA19" s="205">
        <v>0.25</v>
      </c>
      <c r="AB19" s="205">
        <v>0.25</v>
      </c>
      <c r="AC19" s="205">
        <v>0.25</v>
      </c>
      <c r="AD19" s="159">
        <f t="shared" ref="AD19:AD24" si="11">$R19*U19</f>
        <v>0</v>
      </c>
      <c r="AE19" s="159">
        <f t="shared" ref="AE19:AE24" si="12">$R19*V19</f>
        <v>0</v>
      </c>
      <c r="AF19" s="159">
        <f t="shared" ref="AF19:AF24" si="13">$R19*W19</f>
        <v>0</v>
      </c>
      <c r="AG19" s="159">
        <f t="shared" ref="AG19:AG24" si="14">$R19*X19</f>
        <v>0</v>
      </c>
    </row>
    <row r="20" spans="1:33">
      <c r="A20" s="195"/>
      <c r="B20" s="196" t="s">
        <v>363</v>
      </c>
      <c r="C20" s="143" t="s">
        <v>8</v>
      </c>
      <c r="D20" s="216">
        <v>75000</v>
      </c>
      <c r="E20" s="202">
        <v>4</v>
      </c>
      <c r="F20" s="201">
        <f>ROUND(E20*D20,0)</f>
        <v>300000</v>
      </c>
      <c r="G20" s="201">
        <v>0</v>
      </c>
      <c r="H20" s="201">
        <f t="shared" si="1"/>
        <v>0</v>
      </c>
      <c r="I20" s="201"/>
      <c r="J20" s="201">
        <f t="shared" si="2"/>
        <v>0</v>
      </c>
      <c r="K20" s="200">
        <f t="shared" si="3"/>
        <v>0</v>
      </c>
      <c r="L20" s="201">
        <v>0</v>
      </c>
      <c r="M20" s="201">
        <f t="shared" si="4"/>
        <v>0</v>
      </c>
      <c r="N20" s="202">
        <v>0</v>
      </c>
      <c r="O20" s="201">
        <f t="shared" si="5"/>
        <v>0</v>
      </c>
      <c r="P20" s="203">
        <f t="shared" si="6"/>
        <v>4</v>
      </c>
      <c r="Q20" s="201">
        <f t="shared" si="7"/>
        <v>300000</v>
      </c>
      <c r="R20" s="284">
        <f t="shared" si="8"/>
        <v>4615.3846153846152</v>
      </c>
      <c r="S20" s="204">
        <f t="shared" si="9"/>
        <v>300000</v>
      </c>
      <c r="T20" s="204">
        <f t="shared" si="10"/>
        <v>0</v>
      </c>
      <c r="U20" s="160">
        <v>0.2</v>
      </c>
      <c r="V20" s="160">
        <v>0.2</v>
      </c>
      <c r="W20" s="160">
        <v>0.6</v>
      </c>
      <c r="AD20" s="159">
        <f t="shared" si="11"/>
        <v>923.07692307692309</v>
      </c>
      <c r="AE20" s="159">
        <f t="shared" si="12"/>
        <v>923.07692307692309</v>
      </c>
      <c r="AF20" s="159">
        <f t="shared" si="13"/>
        <v>2769.2307692307691</v>
      </c>
      <c r="AG20" s="159">
        <f t="shared" si="14"/>
        <v>0</v>
      </c>
    </row>
    <row r="21" spans="1:33">
      <c r="A21" s="195"/>
      <c r="B21" s="196" t="s">
        <v>364</v>
      </c>
      <c r="C21" s="143" t="s">
        <v>8</v>
      </c>
      <c r="D21" s="216">
        <v>115000</v>
      </c>
      <c r="E21" s="202">
        <v>0.4</v>
      </c>
      <c r="F21" s="201">
        <f t="shared" si="0"/>
        <v>46000</v>
      </c>
      <c r="G21" s="219">
        <f>1*G20*33%</f>
        <v>0</v>
      </c>
      <c r="H21" s="201">
        <f t="shared" si="1"/>
        <v>0</v>
      </c>
      <c r="I21" s="201"/>
      <c r="J21" s="201">
        <f t="shared" si="2"/>
        <v>0</v>
      </c>
      <c r="K21" s="200">
        <f t="shared" si="3"/>
        <v>0</v>
      </c>
      <c r="L21" s="201">
        <v>0</v>
      </c>
      <c r="M21" s="201">
        <f t="shared" si="4"/>
        <v>0</v>
      </c>
      <c r="N21" s="202">
        <v>0</v>
      </c>
      <c r="O21" s="201">
        <f t="shared" si="5"/>
        <v>0</v>
      </c>
      <c r="P21" s="203">
        <f t="shared" si="6"/>
        <v>0.4</v>
      </c>
      <c r="Q21" s="201">
        <f t="shared" si="7"/>
        <v>46000</v>
      </c>
      <c r="R21" s="284">
        <f t="shared" si="8"/>
        <v>707.69230769230774</v>
      </c>
      <c r="S21" s="204">
        <f t="shared" si="9"/>
        <v>46000</v>
      </c>
      <c r="T21" s="204">
        <f t="shared" si="10"/>
        <v>0</v>
      </c>
      <c r="U21" s="160">
        <v>0.6</v>
      </c>
      <c r="W21" s="160">
        <v>0.4</v>
      </c>
      <c r="AD21" s="159">
        <f t="shared" si="11"/>
        <v>424.61538461538464</v>
      </c>
      <c r="AE21" s="159">
        <f t="shared" si="12"/>
        <v>0</v>
      </c>
      <c r="AF21" s="159">
        <f t="shared" si="13"/>
        <v>283.07692307692309</v>
      </c>
      <c r="AG21" s="159">
        <f t="shared" si="14"/>
        <v>0</v>
      </c>
    </row>
    <row r="22" spans="1:33">
      <c r="A22" s="195"/>
      <c r="B22" s="196" t="s">
        <v>113</v>
      </c>
      <c r="C22" s="143" t="s">
        <v>8</v>
      </c>
      <c r="D22" s="216">
        <v>70000</v>
      </c>
      <c r="E22" s="202">
        <v>0.4</v>
      </c>
      <c r="F22" s="201">
        <f t="shared" si="0"/>
        <v>28000</v>
      </c>
      <c r="G22" s="220">
        <f>G20*0.33</f>
        <v>0</v>
      </c>
      <c r="H22" s="201">
        <f t="shared" si="1"/>
        <v>0</v>
      </c>
      <c r="I22" s="221"/>
      <c r="J22" s="201">
        <f t="shared" si="2"/>
        <v>0</v>
      </c>
      <c r="K22" s="200">
        <f t="shared" si="3"/>
        <v>0</v>
      </c>
      <c r="L22" s="201">
        <v>0</v>
      </c>
      <c r="M22" s="201">
        <f t="shared" si="4"/>
        <v>0</v>
      </c>
      <c r="N22" s="202">
        <v>0</v>
      </c>
      <c r="O22" s="201">
        <f t="shared" si="5"/>
        <v>0</v>
      </c>
      <c r="P22" s="222">
        <f t="shared" si="6"/>
        <v>0.4</v>
      </c>
      <c r="Q22" s="201">
        <f t="shared" si="7"/>
        <v>28000</v>
      </c>
      <c r="R22" s="284">
        <f t="shared" si="8"/>
        <v>430.76923076923077</v>
      </c>
      <c r="S22" s="204">
        <f t="shared" si="9"/>
        <v>28000</v>
      </c>
      <c r="T22" s="204">
        <f t="shared" si="10"/>
        <v>0</v>
      </c>
      <c r="U22" s="160">
        <v>0.6</v>
      </c>
      <c r="V22" s="160">
        <v>0.4</v>
      </c>
      <c r="X22" s="160">
        <v>1</v>
      </c>
      <c r="AD22" s="159">
        <f t="shared" si="11"/>
        <v>258.46153846153845</v>
      </c>
      <c r="AE22" s="159">
        <f t="shared" si="12"/>
        <v>172.30769230769232</v>
      </c>
      <c r="AF22" s="159">
        <f>$R22*W22</f>
        <v>0</v>
      </c>
      <c r="AG22" s="159">
        <f>$R22*X22</f>
        <v>430.76923076923077</v>
      </c>
    </row>
    <row r="23" spans="1:33">
      <c r="A23" s="195"/>
      <c r="B23" s="196" t="s">
        <v>222</v>
      </c>
      <c r="C23" s="143" t="s">
        <v>8</v>
      </c>
      <c r="D23" s="216">
        <v>95000</v>
      </c>
      <c r="E23" s="202">
        <v>0.4</v>
      </c>
      <c r="F23" s="201">
        <f t="shared" si="0"/>
        <v>38000</v>
      </c>
      <c r="G23" s="201">
        <v>0</v>
      </c>
      <c r="H23" s="201">
        <f t="shared" si="1"/>
        <v>0</v>
      </c>
      <c r="I23" s="221"/>
      <c r="J23" s="201">
        <f t="shared" si="2"/>
        <v>0</v>
      </c>
      <c r="K23" s="200">
        <f t="shared" si="3"/>
        <v>0</v>
      </c>
      <c r="L23" s="201">
        <v>0</v>
      </c>
      <c r="M23" s="201">
        <f t="shared" si="4"/>
        <v>0</v>
      </c>
      <c r="N23" s="202">
        <v>0</v>
      </c>
      <c r="O23" s="201">
        <f t="shared" si="5"/>
        <v>0</v>
      </c>
      <c r="P23" s="222">
        <f t="shared" si="6"/>
        <v>0.4</v>
      </c>
      <c r="Q23" s="201">
        <f t="shared" si="7"/>
        <v>38000</v>
      </c>
      <c r="R23" s="284">
        <f t="shared" si="8"/>
        <v>584.61538461538464</v>
      </c>
      <c r="S23" s="204">
        <f t="shared" si="9"/>
        <v>38000</v>
      </c>
      <c r="T23" s="204">
        <f t="shared" si="10"/>
        <v>0</v>
      </c>
      <c r="U23" s="160">
        <v>0.4</v>
      </c>
      <c r="V23" s="160">
        <v>0.4</v>
      </c>
      <c r="W23" s="160">
        <v>0.2</v>
      </c>
      <c r="AD23" s="159">
        <f t="shared" si="11"/>
        <v>233.84615384615387</v>
      </c>
      <c r="AE23" s="159">
        <f t="shared" si="12"/>
        <v>233.84615384615387</v>
      </c>
      <c r="AF23" s="159">
        <f t="shared" si="13"/>
        <v>116.92307692307693</v>
      </c>
      <c r="AG23" s="159">
        <f t="shared" si="14"/>
        <v>0</v>
      </c>
    </row>
    <row r="24" spans="1:33">
      <c r="A24" s="195"/>
      <c r="B24" s="196" t="s">
        <v>114</v>
      </c>
      <c r="C24" s="143" t="s">
        <v>8</v>
      </c>
      <c r="D24" s="216">
        <v>26000</v>
      </c>
      <c r="E24" s="202">
        <v>2</v>
      </c>
      <c r="F24" s="201">
        <f t="shared" si="0"/>
        <v>52000</v>
      </c>
      <c r="G24" s="201">
        <f>2*G20</f>
        <v>0</v>
      </c>
      <c r="H24" s="201">
        <f t="shared" si="1"/>
        <v>0</v>
      </c>
      <c r="I24" s="202"/>
      <c r="J24" s="201">
        <f t="shared" si="2"/>
        <v>0</v>
      </c>
      <c r="K24" s="200">
        <f t="shared" si="3"/>
        <v>0</v>
      </c>
      <c r="L24" s="201">
        <v>0</v>
      </c>
      <c r="M24" s="201">
        <f t="shared" si="4"/>
        <v>0</v>
      </c>
      <c r="N24" s="202">
        <v>0</v>
      </c>
      <c r="O24" s="201">
        <f t="shared" si="5"/>
        <v>0</v>
      </c>
      <c r="P24" s="203">
        <f t="shared" si="6"/>
        <v>2</v>
      </c>
      <c r="Q24" s="201">
        <f t="shared" si="7"/>
        <v>52000</v>
      </c>
      <c r="R24" s="284">
        <f t="shared" si="8"/>
        <v>800</v>
      </c>
      <c r="S24" s="204">
        <f t="shared" si="9"/>
        <v>52000</v>
      </c>
      <c r="T24" s="204">
        <f t="shared" si="10"/>
        <v>0</v>
      </c>
      <c r="U24" s="160">
        <v>0.2</v>
      </c>
      <c r="V24" s="160">
        <v>0.2</v>
      </c>
      <c r="W24" s="160">
        <v>0.6</v>
      </c>
      <c r="AD24" s="159">
        <f t="shared" si="11"/>
        <v>160</v>
      </c>
      <c r="AE24" s="159">
        <f t="shared" si="12"/>
        <v>160</v>
      </c>
      <c r="AF24" s="159">
        <f t="shared" si="13"/>
        <v>480</v>
      </c>
      <c r="AG24" s="159">
        <f t="shared" si="14"/>
        <v>0</v>
      </c>
    </row>
    <row r="25" spans="1:33" hidden="1">
      <c r="A25" s="195"/>
      <c r="B25" s="196" t="s">
        <v>42</v>
      </c>
      <c r="C25" s="143" t="s">
        <v>8</v>
      </c>
      <c r="D25" s="216">
        <v>35001</v>
      </c>
      <c r="E25" s="201"/>
      <c r="F25" s="201">
        <f t="shared" ref="F25:F36" si="15">ROUND(E25*D25,0)</f>
        <v>0</v>
      </c>
      <c r="G25" s="201"/>
      <c r="H25" s="201">
        <f t="shared" si="1"/>
        <v>0</v>
      </c>
      <c r="I25" s="201"/>
      <c r="J25" s="201">
        <f t="shared" si="2"/>
        <v>0</v>
      </c>
      <c r="K25" s="200">
        <f t="shared" si="3"/>
        <v>0</v>
      </c>
      <c r="L25" s="201">
        <v>0</v>
      </c>
      <c r="M25" s="201">
        <f t="shared" si="4"/>
        <v>0</v>
      </c>
      <c r="N25" s="202">
        <v>0</v>
      </c>
      <c r="O25" s="201">
        <f t="shared" si="5"/>
        <v>0</v>
      </c>
      <c r="P25" s="203">
        <f t="shared" si="6"/>
        <v>0</v>
      </c>
      <c r="Q25" s="201">
        <f t="shared" si="7"/>
        <v>0</v>
      </c>
      <c r="R25" s="284">
        <f t="shared" ref="R25:R33" si="16">+Q25/DollarLC</f>
        <v>0</v>
      </c>
      <c r="S25" s="204">
        <f t="shared" si="9"/>
        <v>0</v>
      </c>
      <c r="T25" s="204">
        <f t="shared" si="10"/>
        <v>0</v>
      </c>
    </row>
    <row r="26" spans="1:33" hidden="1">
      <c r="A26" s="195"/>
      <c r="B26" s="196" t="s">
        <v>42</v>
      </c>
      <c r="C26" s="143" t="s">
        <v>8</v>
      </c>
      <c r="D26" s="216">
        <v>35002</v>
      </c>
      <c r="E26" s="201"/>
      <c r="F26" s="201">
        <f t="shared" si="15"/>
        <v>0</v>
      </c>
      <c r="G26" s="201"/>
      <c r="H26" s="201">
        <f t="shared" si="1"/>
        <v>0</v>
      </c>
      <c r="I26" s="201"/>
      <c r="J26" s="201">
        <f t="shared" si="2"/>
        <v>0</v>
      </c>
      <c r="K26" s="200">
        <f t="shared" si="3"/>
        <v>0</v>
      </c>
      <c r="L26" s="201">
        <v>0</v>
      </c>
      <c r="M26" s="201">
        <f t="shared" si="4"/>
        <v>0</v>
      </c>
      <c r="N26" s="202">
        <v>0</v>
      </c>
      <c r="O26" s="201">
        <f t="shared" si="5"/>
        <v>0</v>
      </c>
      <c r="P26" s="203">
        <f t="shared" si="6"/>
        <v>0</v>
      </c>
      <c r="Q26" s="201">
        <f t="shared" si="7"/>
        <v>0</v>
      </c>
      <c r="R26" s="284">
        <f t="shared" si="16"/>
        <v>0</v>
      </c>
      <c r="S26" s="204">
        <f t="shared" si="9"/>
        <v>0</v>
      </c>
      <c r="T26" s="204">
        <f t="shared" si="10"/>
        <v>0</v>
      </c>
    </row>
    <row r="27" spans="1:33" hidden="1">
      <c r="A27" s="195"/>
      <c r="B27" s="196" t="s">
        <v>42</v>
      </c>
      <c r="C27" s="143" t="s">
        <v>8</v>
      </c>
      <c r="D27" s="216">
        <v>35003</v>
      </c>
      <c r="E27" s="201"/>
      <c r="F27" s="201">
        <f t="shared" si="15"/>
        <v>0</v>
      </c>
      <c r="G27" s="201"/>
      <c r="H27" s="201">
        <f t="shared" si="1"/>
        <v>0</v>
      </c>
      <c r="I27" s="201"/>
      <c r="J27" s="201">
        <f t="shared" si="2"/>
        <v>0</v>
      </c>
      <c r="K27" s="200">
        <f t="shared" si="3"/>
        <v>0</v>
      </c>
      <c r="L27" s="201">
        <v>0</v>
      </c>
      <c r="M27" s="201">
        <f t="shared" si="4"/>
        <v>0</v>
      </c>
      <c r="N27" s="202">
        <v>0</v>
      </c>
      <c r="O27" s="201">
        <f t="shared" si="5"/>
        <v>0</v>
      </c>
      <c r="P27" s="203">
        <f t="shared" si="6"/>
        <v>0</v>
      </c>
      <c r="Q27" s="201">
        <f t="shared" si="7"/>
        <v>0</v>
      </c>
      <c r="R27" s="284">
        <f t="shared" si="16"/>
        <v>0</v>
      </c>
      <c r="S27" s="204">
        <f t="shared" si="9"/>
        <v>0</v>
      </c>
      <c r="T27" s="204">
        <f t="shared" si="10"/>
        <v>0</v>
      </c>
    </row>
    <row r="28" spans="1:33" hidden="1">
      <c r="A28" s="195"/>
      <c r="B28" s="218" t="s">
        <v>9</v>
      </c>
      <c r="C28" s="143" t="s">
        <v>8</v>
      </c>
      <c r="D28" s="216">
        <v>35004</v>
      </c>
      <c r="E28" s="201"/>
      <c r="F28" s="201">
        <f t="shared" si="15"/>
        <v>0</v>
      </c>
      <c r="G28" s="201"/>
      <c r="H28" s="201">
        <f t="shared" si="1"/>
        <v>0</v>
      </c>
      <c r="I28" s="201"/>
      <c r="J28" s="201"/>
      <c r="K28" s="200">
        <f t="shared" si="3"/>
        <v>0</v>
      </c>
      <c r="L28" s="201"/>
      <c r="M28" s="201"/>
      <c r="N28" s="202"/>
      <c r="O28" s="201"/>
      <c r="P28" s="203">
        <f t="shared" si="6"/>
        <v>0</v>
      </c>
      <c r="Q28" s="201">
        <f t="shared" si="7"/>
        <v>0</v>
      </c>
      <c r="R28" s="284">
        <f t="shared" si="16"/>
        <v>0</v>
      </c>
      <c r="S28" s="204">
        <f t="shared" si="9"/>
        <v>0</v>
      </c>
      <c r="T28" s="204">
        <f t="shared" si="10"/>
        <v>0</v>
      </c>
    </row>
    <row r="29" spans="1:33" hidden="1">
      <c r="A29" s="195"/>
      <c r="B29" s="196" t="s">
        <v>224</v>
      </c>
      <c r="C29" s="143" t="s">
        <v>8</v>
      </c>
      <c r="D29" s="216">
        <v>35005</v>
      </c>
      <c r="E29" s="201"/>
      <c r="F29" s="201">
        <f t="shared" si="15"/>
        <v>0</v>
      </c>
      <c r="G29" s="201"/>
      <c r="H29" s="201">
        <f t="shared" si="1"/>
        <v>0</v>
      </c>
      <c r="I29" s="201"/>
      <c r="J29" s="201">
        <f>ROUND(I29*D29*localinflation_yr3,0)</f>
        <v>0</v>
      </c>
      <c r="K29" s="200">
        <f t="shared" si="3"/>
        <v>0</v>
      </c>
      <c r="L29" s="201">
        <v>0</v>
      </c>
      <c r="M29" s="201">
        <f>ROUND(L29*D29*localinflation_yr4,0)</f>
        <v>0</v>
      </c>
      <c r="N29" s="202">
        <v>0</v>
      </c>
      <c r="O29" s="201">
        <f>ROUND(N29*D29*localinflation_yr5,0)</f>
        <v>0</v>
      </c>
      <c r="P29" s="203">
        <f t="shared" si="6"/>
        <v>0</v>
      </c>
      <c r="Q29" s="201">
        <f t="shared" si="7"/>
        <v>0</v>
      </c>
      <c r="R29" s="284">
        <f t="shared" si="16"/>
        <v>0</v>
      </c>
      <c r="S29" s="204">
        <f t="shared" si="9"/>
        <v>0</v>
      </c>
      <c r="T29" s="204">
        <f t="shared" si="10"/>
        <v>0</v>
      </c>
    </row>
    <row r="30" spans="1:33" hidden="1">
      <c r="A30" s="195"/>
      <c r="B30" s="196" t="s">
        <v>225</v>
      </c>
      <c r="C30" s="143" t="s">
        <v>8</v>
      </c>
      <c r="D30" s="216">
        <v>35006</v>
      </c>
      <c r="E30" s="201"/>
      <c r="F30" s="201">
        <f t="shared" si="15"/>
        <v>0</v>
      </c>
      <c r="G30" s="201"/>
      <c r="H30" s="201">
        <f t="shared" si="1"/>
        <v>0</v>
      </c>
      <c r="I30" s="201"/>
      <c r="J30" s="201">
        <f>ROUND(I30*D30*localinflation_yr3,0)</f>
        <v>0</v>
      </c>
      <c r="K30" s="200">
        <f t="shared" si="3"/>
        <v>0</v>
      </c>
      <c r="L30" s="201">
        <v>0</v>
      </c>
      <c r="M30" s="201">
        <f>ROUND(L30*D30*localinflation_yr4,0)</f>
        <v>0</v>
      </c>
      <c r="N30" s="202">
        <v>0</v>
      </c>
      <c r="O30" s="201">
        <f>ROUND(N30*D30*localinflation_yr5,0)</f>
        <v>0</v>
      </c>
      <c r="P30" s="203">
        <f t="shared" si="6"/>
        <v>0</v>
      </c>
      <c r="Q30" s="201">
        <f t="shared" si="7"/>
        <v>0</v>
      </c>
      <c r="R30" s="284">
        <f t="shared" si="16"/>
        <v>0</v>
      </c>
      <c r="S30" s="204">
        <f t="shared" si="9"/>
        <v>0</v>
      </c>
      <c r="T30" s="204">
        <f t="shared" si="10"/>
        <v>0</v>
      </c>
    </row>
    <row r="31" spans="1:33" hidden="1">
      <c r="A31" s="195"/>
      <c r="B31" s="196" t="s">
        <v>42</v>
      </c>
      <c r="C31" s="143" t="s">
        <v>8</v>
      </c>
      <c r="D31" s="216">
        <v>35007</v>
      </c>
      <c r="E31" s="201"/>
      <c r="F31" s="201">
        <f t="shared" si="15"/>
        <v>0</v>
      </c>
      <c r="G31" s="201"/>
      <c r="H31" s="201">
        <f t="shared" si="1"/>
        <v>0</v>
      </c>
      <c r="I31" s="201"/>
      <c r="J31" s="201">
        <f>ROUND(I31*D31*localinflation_yr3,0)</f>
        <v>0</v>
      </c>
      <c r="K31" s="200">
        <f t="shared" si="3"/>
        <v>0</v>
      </c>
      <c r="L31" s="201">
        <v>0</v>
      </c>
      <c r="M31" s="201">
        <f>ROUND(L31*D31*localinflation_yr4,0)</f>
        <v>0</v>
      </c>
      <c r="N31" s="202">
        <v>0</v>
      </c>
      <c r="O31" s="201">
        <f>ROUND(N31*D31*localinflation_yr5,0)</f>
        <v>0</v>
      </c>
      <c r="P31" s="203">
        <f t="shared" si="6"/>
        <v>0</v>
      </c>
      <c r="Q31" s="201">
        <f t="shared" si="7"/>
        <v>0</v>
      </c>
      <c r="R31" s="284">
        <f t="shared" si="16"/>
        <v>0</v>
      </c>
      <c r="S31" s="204">
        <f t="shared" si="9"/>
        <v>0</v>
      </c>
      <c r="T31" s="204">
        <f t="shared" si="10"/>
        <v>0</v>
      </c>
    </row>
    <row r="32" spans="1:33" hidden="1">
      <c r="A32" s="195"/>
      <c r="B32" s="196" t="s">
        <v>42</v>
      </c>
      <c r="C32" s="143" t="s">
        <v>8</v>
      </c>
      <c r="D32" s="216">
        <v>35008</v>
      </c>
      <c r="E32" s="201"/>
      <c r="F32" s="201">
        <f t="shared" si="15"/>
        <v>0</v>
      </c>
      <c r="G32" s="201"/>
      <c r="H32" s="201">
        <f t="shared" si="1"/>
        <v>0</v>
      </c>
      <c r="I32" s="201"/>
      <c r="J32" s="201">
        <f>ROUND(I32*D32*localinflation_yr3,0)</f>
        <v>0</v>
      </c>
      <c r="K32" s="200">
        <f t="shared" si="3"/>
        <v>0</v>
      </c>
      <c r="L32" s="201">
        <v>0</v>
      </c>
      <c r="M32" s="201">
        <f>ROUND(L32*D32*localinflation_yr4,0)</f>
        <v>0</v>
      </c>
      <c r="N32" s="202">
        <v>0</v>
      </c>
      <c r="O32" s="201">
        <f>ROUND(N32*D32*localinflation_yr5,0)</f>
        <v>0</v>
      </c>
      <c r="P32" s="203">
        <f t="shared" si="6"/>
        <v>0</v>
      </c>
      <c r="Q32" s="201">
        <f t="shared" si="7"/>
        <v>0</v>
      </c>
      <c r="R32" s="284">
        <f t="shared" si="16"/>
        <v>0</v>
      </c>
      <c r="S32" s="204">
        <f t="shared" si="9"/>
        <v>0</v>
      </c>
      <c r="T32" s="204">
        <f t="shared" si="10"/>
        <v>0</v>
      </c>
    </row>
    <row r="33" spans="1:253" hidden="1">
      <c r="A33" s="223">
        <v>0.4</v>
      </c>
      <c r="B33" s="196" t="s">
        <v>302</v>
      </c>
      <c r="C33" s="143" t="s">
        <v>8</v>
      </c>
      <c r="D33" s="216">
        <v>130000</v>
      </c>
      <c r="E33" s="219">
        <v>0</v>
      </c>
      <c r="F33" s="201">
        <f t="shared" si="15"/>
        <v>0</v>
      </c>
      <c r="G33" s="219">
        <v>0</v>
      </c>
      <c r="H33" s="201">
        <f t="shared" si="1"/>
        <v>0</v>
      </c>
      <c r="I33" s="201"/>
      <c r="J33" s="201"/>
      <c r="K33" s="200"/>
      <c r="L33" s="201"/>
      <c r="M33" s="201"/>
      <c r="N33" s="202"/>
      <c r="O33" s="201"/>
      <c r="P33" s="203">
        <f t="shared" si="6"/>
        <v>0</v>
      </c>
      <c r="Q33" s="201">
        <f t="shared" si="7"/>
        <v>0</v>
      </c>
      <c r="R33" s="284">
        <f t="shared" si="16"/>
        <v>0</v>
      </c>
      <c r="S33" s="204">
        <f t="shared" si="9"/>
        <v>0</v>
      </c>
      <c r="T33" s="204">
        <f t="shared" si="10"/>
        <v>0</v>
      </c>
    </row>
    <row r="34" spans="1:253" hidden="1">
      <c r="A34" s="223">
        <v>0.05</v>
      </c>
      <c r="B34" s="196" t="s">
        <v>301</v>
      </c>
      <c r="C34" s="143" t="s">
        <v>8</v>
      </c>
      <c r="D34" s="216">
        <v>110000</v>
      </c>
      <c r="E34" s="219">
        <v>0</v>
      </c>
      <c r="F34" s="201">
        <f t="shared" si="15"/>
        <v>0</v>
      </c>
      <c r="G34" s="219">
        <v>0</v>
      </c>
      <c r="H34" s="201">
        <f t="shared" si="1"/>
        <v>0</v>
      </c>
      <c r="I34" s="201"/>
      <c r="J34" s="201"/>
      <c r="K34" s="200"/>
      <c r="L34" s="201"/>
      <c r="M34" s="201"/>
      <c r="N34" s="202"/>
      <c r="O34" s="201"/>
      <c r="P34" s="203">
        <f t="shared" si="6"/>
        <v>0</v>
      </c>
      <c r="Q34" s="201">
        <f t="shared" si="7"/>
        <v>0</v>
      </c>
      <c r="R34" s="284">
        <f>+Q34/DollarLC</f>
        <v>0</v>
      </c>
      <c r="S34" s="204">
        <f t="shared" si="9"/>
        <v>0</v>
      </c>
      <c r="T34" s="204">
        <f t="shared" si="10"/>
        <v>0</v>
      </c>
    </row>
    <row r="35" spans="1:253" hidden="1">
      <c r="A35" s="223">
        <v>0.05</v>
      </c>
      <c r="B35" s="196" t="s">
        <v>300</v>
      </c>
      <c r="C35" s="143" t="s">
        <v>8</v>
      </c>
      <c r="D35" s="216">
        <v>200000</v>
      </c>
      <c r="E35" s="219">
        <v>0</v>
      </c>
      <c r="F35" s="201">
        <f t="shared" si="15"/>
        <v>0</v>
      </c>
      <c r="G35" s="219">
        <v>0</v>
      </c>
      <c r="H35" s="201">
        <f t="shared" si="1"/>
        <v>0</v>
      </c>
      <c r="I35" s="201"/>
      <c r="J35" s="201"/>
      <c r="K35" s="200"/>
      <c r="L35" s="201"/>
      <c r="M35" s="201"/>
      <c r="N35" s="202"/>
      <c r="O35" s="201"/>
      <c r="P35" s="203">
        <f t="shared" si="6"/>
        <v>0</v>
      </c>
      <c r="Q35" s="201">
        <f t="shared" si="7"/>
        <v>0</v>
      </c>
      <c r="R35" s="284">
        <f t="shared" si="8"/>
        <v>0</v>
      </c>
      <c r="S35" s="204"/>
      <c r="T35" s="204"/>
      <c r="AP35" s="161">
        <f>AP34/175000</f>
        <v>0</v>
      </c>
    </row>
    <row r="36" spans="1:253" hidden="1">
      <c r="A36" s="223">
        <v>0.12</v>
      </c>
      <c r="B36" s="196" t="s">
        <v>296</v>
      </c>
      <c r="C36" s="143" t="s">
        <v>8</v>
      </c>
      <c r="D36" s="216">
        <v>141250</v>
      </c>
      <c r="E36" s="219">
        <v>0</v>
      </c>
      <c r="F36" s="201">
        <f t="shared" si="15"/>
        <v>0</v>
      </c>
      <c r="G36" s="219">
        <v>0</v>
      </c>
      <c r="H36" s="201">
        <f t="shared" si="1"/>
        <v>0</v>
      </c>
      <c r="I36" s="201"/>
      <c r="J36" s="201"/>
      <c r="K36" s="200"/>
      <c r="L36" s="201"/>
      <c r="M36" s="201"/>
      <c r="N36" s="202"/>
      <c r="O36" s="201"/>
      <c r="P36" s="203">
        <f t="shared" si="6"/>
        <v>0</v>
      </c>
      <c r="Q36" s="201">
        <f t="shared" si="7"/>
        <v>0</v>
      </c>
      <c r="R36" s="284">
        <f t="shared" si="8"/>
        <v>0</v>
      </c>
      <c r="S36" s="204"/>
      <c r="T36" s="204"/>
    </row>
    <row r="37" spans="1:253" hidden="1">
      <c r="A37" s="223">
        <v>0.15</v>
      </c>
      <c r="B37" s="196" t="s">
        <v>297</v>
      </c>
      <c r="C37" s="143" t="s">
        <v>8</v>
      </c>
      <c r="D37" s="216">
        <v>141250</v>
      </c>
      <c r="E37" s="219">
        <v>0</v>
      </c>
      <c r="F37" s="201">
        <f>ROUND(E37*D37,0)</f>
        <v>0</v>
      </c>
      <c r="G37" s="219">
        <v>0</v>
      </c>
      <c r="H37" s="201">
        <f t="shared" si="1"/>
        <v>0</v>
      </c>
      <c r="I37" s="201"/>
      <c r="J37" s="201">
        <f>ROUND(I37*D37*localinflation_yr3,0)</f>
        <v>0</v>
      </c>
      <c r="K37" s="200">
        <f t="shared" si="3"/>
        <v>0</v>
      </c>
      <c r="L37" s="201">
        <v>0</v>
      </c>
      <c r="M37" s="201">
        <f>ROUND(L37*D37*localinflation_yr4,0)</f>
        <v>0</v>
      </c>
      <c r="N37" s="202">
        <v>0</v>
      </c>
      <c r="O37" s="201">
        <f>ROUND(N37*D37*localinflation_yr5,0)</f>
        <v>0</v>
      </c>
      <c r="P37" s="203">
        <f t="shared" si="6"/>
        <v>0</v>
      </c>
      <c r="Q37" s="201">
        <f t="shared" si="7"/>
        <v>0</v>
      </c>
      <c r="R37" s="284">
        <f t="shared" si="8"/>
        <v>0</v>
      </c>
      <c r="S37" s="204">
        <f>+D37*E37</f>
        <v>0</v>
      </c>
      <c r="T37" s="204">
        <f>+S37-F37</f>
        <v>0</v>
      </c>
    </row>
    <row r="38" spans="1:253">
      <c r="A38" s="223"/>
      <c r="B38" s="196" t="s">
        <v>357</v>
      </c>
      <c r="C38" s="143"/>
      <c r="D38" s="216"/>
      <c r="E38" s="202"/>
      <c r="F38" s="201">
        <v>0</v>
      </c>
      <c r="G38" s="219"/>
      <c r="H38" s="201">
        <v>0</v>
      </c>
      <c r="I38" s="201"/>
      <c r="J38" s="201"/>
      <c r="K38" s="199"/>
      <c r="L38" s="201"/>
      <c r="M38" s="201"/>
      <c r="N38" s="202"/>
      <c r="O38" s="201"/>
      <c r="P38" s="203">
        <f t="shared" si="6"/>
        <v>0</v>
      </c>
      <c r="Q38" s="201">
        <f t="shared" si="7"/>
        <v>0</v>
      </c>
      <c r="R38" s="284">
        <f>+Q38/DollarLC</f>
        <v>0</v>
      </c>
      <c r="S38" s="204"/>
      <c r="T38" s="204"/>
    </row>
    <row r="39" spans="1:253" s="332" customFormat="1">
      <c r="A39" s="317"/>
      <c r="B39" s="318" t="s">
        <v>10</v>
      </c>
      <c r="C39" s="319"/>
      <c r="D39" s="320"/>
      <c r="E39" s="321"/>
      <c r="F39" s="322">
        <f>SUM(F19:F38)</f>
        <v>464000</v>
      </c>
      <c r="G39" s="322"/>
      <c r="H39" s="322">
        <f>SUM(H19:H38)</f>
        <v>0</v>
      </c>
      <c r="I39" s="322"/>
      <c r="J39" s="322">
        <f>SUM(J19:J37)</f>
        <v>0</v>
      </c>
      <c r="K39" s="322">
        <f>SUM(K19:K37)</f>
        <v>0</v>
      </c>
      <c r="L39" s="322"/>
      <c r="M39" s="322">
        <f>SUM(M19:M37)</f>
        <v>0</v>
      </c>
      <c r="N39" s="321"/>
      <c r="O39" s="322">
        <f>SUM(O19:O37)</f>
        <v>0</v>
      </c>
      <c r="P39" s="324"/>
      <c r="Q39" s="322">
        <f t="shared" si="7"/>
        <v>464000</v>
      </c>
      <c r="R39" s="325">
        <f>SUM(R19:R38)</f>
        <v>7138.4615384615381</v>
      </c>
      <c r="S39" s="326"/>
      <c r="T39" s="326"/>
      <c r="U39" s="333"/>
      <c r="V39" s="327"/>
      <c r="W39" s="333"/>
      <c r="X39" s="328"/>
      <c r="Z39" s="330">
        <v>0.25</v>
      </c>
      <c r="AA39" s="330">
        <v>0.25</v>
      </c>
      <c r="AB39" s="330">
        <v>0.25</v>
      </c>
      <c r="AC39" s="330">
        <v>0.25</v>
      </c>
      <c r="AD39" s="334">
        <f>$R$39*Z39</f>
        <v>1784.6153846153845</v>
      </c>
      <c r="AE39" s="334">
        <f>$R$39*AA39</f>
        <v>1784.6153846153845</v>
      </c>
      <c r="AF39" s="334">
        <f>$R$39*AB39</f>
        <v>1784.6153846153845</v>
      </c>
      <c r="AG39" s="334">
        <f>$R$39*AC39</f>
        <v>1784.6153846153845</v>
      </c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29"/>
      <c r="CE39" s="329"/>
      <c r="CF39" s="329"/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/>
      <c r="CR39" s="329"/>
      <c r="CS39" s="329"/>
      <c r="CT39" s="329"/>
      <c r="CU39" s="329"/>
      <c r="CV39" s="329"/>
      <c r="CW39" s="329"/>
      <c r="CX39" s="329"/>
      <c r="CY39" s="329"/>
      <c r="CZ39" s="329"/>
      <c r="DA39" s="329"/>
      <c r="DB39" s="329"/>
      <c r="DC39" s="329"/>
      <c r="DD39" s="329"/>
      <c r="DE39" s="329"/>
      <c r="DF39" s="329"/>
      <c r="DG39" s="329"/>
      <c r="DH39" s="329"/>
      <c r="DI39" s="329"/>
      <c r="DJ39" s="329"/>
      <c r="DK39" s="329"/>
      <c r="DL39" s="329"/>
      <c r="DM39" s="329"/>
      <c r="DN39" s="329"/>
      <c r="DO39" s="329"/>
      <c r="DP39" s="329"/>
      <c r="DQ39" s="329"/>
      <c r="DR39" s="329"/>
      <c r="DS39" s="329"/>
      <c r="DT39" s="329"/>
      <c r="DU39" s="329"/>
      <c r="DV39" s="329"/>
      <c r="DW39" s="329"/>
      <c r="DX39" s="329"/>
      <c r="DY39" s="329"/>
      <c r="DZ39" s="329"/>
      <c r="EA39" s="329"/>
      <c r="EB39" s="329"/>
      <c r="EC39" s="329"/>
      <c r="ED39" s="329"/>
      <c r="EE39" s="329"/>
      <c r="EF39" s="329"/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29"/>
      <c r="EZ39" s="329"/>
      <c r="FA39" s="329"/>
      <c r="FB39" s="329"/>
      <c r="FC39" s="329"/>
      <c r="FD39" s="329"/>
      <c r="FE39" s="329"/>
      <c r="FF39" s="329"/>
      <c r="FG39" s="329"/>
      <c r="FH39" s="329"/>
      <c r="FI39" s="329"/>
      <c r="FJ39" s="329"/>
      <c r="FK39" s="329"/>
      <c r="FL39" s="329"/>
      <c r="FM39" s="329"/>
      <c r="FN39" s="329"/>
      <c r="FO39" s="329"/>
      <c r="FP39" s="329"/>
      <c r="FQ39" s="329"/>
      <c r="FR39" s="329"/>
      <c r="FS39" s="329"/>
      <c r="FT39" s="329"/>
      <c r="FU39" s="329"/>
      <c r="FV39" s="329"/>
      <c r="FW39" s="329"/>
      <c r="FX39" s="329"/>
      <c r="FY39" s="329"/>
      <c r="FZ39" s="329"/>
      <c r="GA39" s="329"/>
      <c r="GB39" s="329"/>
      <c r="GC39" s="329"/>
      <c r="GD39" s="329"/>
      <c r="GE39" s="329"/>
      <c r="GF39" s="329"/>
      <c r="GG39" s="329"/>
      <c r="GH39" s="329"/>
      <c r="GI39" s="329"/>
      <c r="GJ39" s="329"/>
      <c r="GK39" s="329"/>
      <c r="GL39" s="329"/>
      <c r="GM39" s="329"/>
      <c r="GN39" s="329"/>
      <c r="GO39" s="329"/>
      <c r="GP39" s="329"/>
      <c r="GQ39" s="329"/>
      <c r="GR39" s="329"/>
      <c r="GS39" s="329"/>
      <c r="GT39" s="329"/>
      <c r="GU39" s="329"/>
      <c r="GV39" s="329"/>
      <c r="GW39" s="329"/>
      <c r="GX39" s="329"/>
      <c r="GY39" s="329"/>
      <c r="GZ39" s="329"/>
      <c r="HA39" s="329"/>
      <c r="HB39" s="329"/>
      <c r="HC39" s="329"/>
      <c r="HD39" s="329"/>
      <c r="HE39" s="329"/>
      <c r="HF39" s="329"/>
      <c r="HG39" s="329"/>
      <c r="HH39" s="329"/>
      <c r="HI39" s="329"/>
      <c r="HJ39" s="329"/>
      <c r="HK39" s="329"/>
      <c r="HL39" s="329"/>
      <c r="HM39" s="329"/>
      <c r="HN39" s="329"/>
      <c r="HO39" s="329"/>
      <c r="HP39" s="329"/>
      <c r="HQ39" s="329"/>
      <c r="HR39" s="329"/>
      <c r="HS39" s="329"/>
      <c r="HT39" s="329"/>
      <c r="HU39" s="329"/>
      <c r="HV39" s="329"/>
      <c r="HW39" s="329"/>
      <c r="HX39" s="329"/>
      <c r="HY39" s="329"/>
      <c r="HZ39" s="329"/>
      <c r="IA39" s="329"/>
      <c r="IB39" s="329"/>
      <c r="IC39" s="329"/>
      <c r="ID39" s="329"/>
      <c r="IE39" s="329"/>
      <c r="IF39" s="329"/>
      <c r="IG39" s="329"/>
      <c r="IH39" s="329"/>
      <c r="II39" s="329"/>
      <c r="IJ39" s="329"/>
      <c r="IK39" s="329"/>
      <c r="IL39" s="329"/>
      <c r="IM39" s="329"/>
      <c r="IN39" s="329"/>
      <c r="IO39" s="329"/>
      <c r="IP39" s="329"/>
      <c r="IQ39" s="329"/>
      <c r="IR39" s="329"/>
      <c r="IS39" s="329"/>
    </row>
    <row r="40" spans="1:253">
      <c r="A40" s="195"/>
      <c r="B40" s="208"/>
      <c r="C40" s="144"/>
      <c r="D40" s="209"/>
      <c r="E40" s="210"/>
      <c r="F40" s="211"/>
      <c r="G40" s="211"/>
      <c r="H40" s="211"/>
      <c r="I40" s="211"/>
      <c r="J40" s="211"/>
      <c r="K40" s="212"/>
      <c r="L40" s="211"/>
      <c r="M40" s="211"/>
      <c r="N40" s="210"/>
      <c r="O40" s="211"/>
      <c r="P40" s="213"/>
      <c r="Q40" s="211"/>
      <c r="R40" s="249"/>
      <c r="S40" s="204"/>
      <c r="T40" s="204"/>
      <c r="V40" s="193"/>
      <c r="X40" s="214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</row>
    <row r="41" spans="1:253">
      <c r="A41" s="195"/>
      <c r="B41" s="185" t="s">
        <v>11</v>
      </c>
      <c r="C41" s="145"/>
      <c r="D41" s="186"/>
      <c r="E41" s="225"/>
      <c r="F41" s="226"/>
      <c r="G41" s="226"/>
      <c r="H41" s="226"/>
      <c r="I41" s="226"/>
      <c r="J41" s="226"/>
      <c r="K41" s="227"/>
      <c r="L41" s="226"/>
      <c r="M41" s="226"/>
      <c r="N41" s="225"/>
      <c r="O41" s="226"/>
      <c r="P41" s="203"/>
      <c r="Q41" s="201"/>
      <c r="R41" s="284"/>
      <c r="S41" s="204"/>
      <c r="T41" s="204"/>
      <c r="V41" s="193"/>
      <c r="X41" s="193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</row>
    <row r="42" spans="1:253">
      <c r="A42" s="195"/>
      <c r="B42" s="196" t="s">
        <v>365</v>
      </c>
      <c r="C42" s="143"/>
      <c r="D42" s="228">
        <f>intlfringe</f>
        <v>0</v>
      </c>
      <c r="E42" s="202"/>
      <c r="F42" s="229">
        <f>F39*intlfringe</f>
        <v>0</v>
      </c>
      <c r="G42" s="201"/>
      <c r="H42" s="201">
        <f>H39*intlfringe</f>
        <v>0</v>
      </c>
      <c r="I42" s="201"/>
      <c r="J42" s="201">
        <f>J39*intlfringe</f>
        <v>0</v>
      </c>
      <c r="K42" s="200">
        <f>J42/$D$2</f>
        <v>0</v>
      </c>
      <c r="L42" s="201"/>
      <c r="M42" s="230">
        <f>M39*intlfringe</f>
        <v>0</v>
      </c>
      <c r="N42" s="202"/>
      <c r="O42" s="230">
        <f>O39*intlfringe</f>
        <v>0</v>
      </c>
      <c r="P42" s="203"/>
      <c r="Q42" s="201">
        <f>O42+M42+J42+H42+F42</f>
        <v>0</v>
      </c>
      <c r="R42" s="284">
        <f>+Q42/DollarLC</f>
        <v>0</v>
      </c>
      <c r="S42" s="204">
        <f>SUM(S11:S14)*intlfringe</f>
        <v>0</v>
      </c>
      <c r="T42" s="204">
        <f>+S42-F42</f>
        <v>0</v>
      </c>
    </row>
    <row r="43" spans="1:253" s="332" customFormat="1">
      <c r="A43" s="317"/>
      <c r="B43" s="318" t="s">
        <v>12</v>
      </c>
      <c r="C43" s="319"/>
      <c r="D43" s="320"/>
      <c r="E43" s="321"/>
      <c r="F43" s="322">
        <f>F42</f>
        <v>0</v>
      </c>
      <c r="G43" s="322"/>
      <c r="H43" s="322">
        <f>H42</f>
        <v>0</v>
      </c>
      <c r="I43" s="322"/>
      <c r="J43" s="322">
        <f>J42</f>
        <v>0</v>
      </c>
      <c r="K43" s="322">
        <f>K42</f>
        <v>0</v>
      </c>
      <c r="L43" s="322"/>
      <c r="M43" s="323">
        <f>M42</f>
        <v>0</v>
      </c>
      <c r="N43" s="321"/>
      <c r="O43" s="323">
        <f>O42</f>
        <v>0</v>
      </c>
      <c r="P43" s="324"/>
      <c r="Q43" s="322">
        <f>O43+M43+J43+H43+F43</f>
        <v>0</v>
      </c>
      <c r="R43" s="335">
        <f>+Q43/DollarLC</f>
        <v>0</v>
      </c>
      <c r="S43" s="326"/>
      <c r="T43" s="326"/>
      <c r="U43" s="333"/>
      <c r="V43" s="327"/>
      <c r="W43" s="333"/>
      <c r="X43" s="328"/>
      <c r="Z43" s="330">
        <v>0.25</v>
      </c>
      <c r="AA43" s="330">
        <v>0.25</v>
      </c>
      <c r="AB43" s="330">
        <v>0.25</v>
      </c>
      <c r="AC43" s="330">
        <v>0.25</v>
      </c>
      <c r="AD43" s="334">
        <f>$R$43*Z43</f>
        <v>0</v>
      </c>
      <c r="AE43" s="334">
        <f>$R$43*AA43</f>
        <v>0</v>
      </c>
      <c r="AF43" s="334">
        <f>$R$43*AB43</f>
        <v>0</v>
      </c>
      <c r="AG43" s="334">
        <f>$R$43*AC43</f>
        <v>0</v>
      </c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  <c r="DM43" s="329"/>
      <c r="DN43" s="329"/>
      <c r="DO43" s="329"/>
      <c r="DP43" s="329"/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29"/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29"/>
      <c r="FB43" s="329"/>
      <c r="FC43" s="329"/>
      <c r="FD43" s="329"/>
      <c r="FE43" s="329"/>
      <c r="FF43" s="329"/>
      <c r="FG43" s="329"/>
      <c r="FH43" s="329"/>
      <c r="FI43" s="329"/>
      <c r="FJ43" s="329"/>
      <c r="FK43" s="329"/>
      <c r="FL43" s="329"/>
      <c r="FM43" s="329"/>
      <c r="FN43" s="329"/>
      <c r="FO43" s="329"/>
      <c r="FP43" s="329"/>
      <c r="FQ43" s="329"/>
      <c r="FR43" s="329"/>
      <c r="FS43" s="329"/>
      <c r="FT43" s="329"/>
      <c r="FU43" s="329"/>
      <c r="FV43" s="329"/>
      <c r="FW43" s="329"/>
      <c r="FX43" s="329"/>
      <c r="FY43" s="329"/>
      <c r="FZ43" s="329"/>
      <c r="GA43" s="329"/>
      <c r="GB43" s="329"/>
      <c r="GC43" s="329"/>
      <c r="GD43" s="329"/>
      <c r="GE43" s="329"/>
      <c r="GF43" s="329"/>
      <c r="GG43" s="329"/>
      <c r="GH43" s="329"/>
      <c r="GI43" s="329"/>
      <c r="GJ43" s="329"/>
      <c r="GK43" s="329"/>
      <c r="GL43" s="329"/>
      <c r="GM43" s="329"/>
      <c r="GN43" s="329"/>
      <c r="GO43" s="329"/>
      <c r="GP43" s="329"/>
      <c r="GQ43" s="329"/>
      <c r="GR43" s="329"/>
      <c r="GS43" s="329"/>
      <c r="GT43" s="329"/>
      <c r="GU43" s="329"/>
      <c r="GV43" s="329"/>
      <c r="GW43" s="329"/>
      <c r="GX43" s="329"/>
      <c r="GY43" s="329"/>
      <c r="GZ43" s="329"/>
      <c r="HA43" s="329"/>
      <c r="HB43" s="329"/>
      <c r="HC43" s="329"/>
      <c r="HD43" s="329"/>
      <c r="HE43" s="329"/>
      <c r="HF43" s="329"/>
      <c r="HG43" s="329"/>
      <c r="HH43" s="329"/>
      <c r="HI43" s="329"/>
      <c r="HJ43" s="329"/>
      <c r="HK43" s="329"/>
      <c r="HL43" s="329"/>
      <c r="HM43" s="329"/>
      <c r="HN43" s="329"/>
      <c r="HO43" s="329"/>
      <c r="HP43" s="329"/>
      <c r="HQ43" s="329"/>
      <c r="HR43" s="329"/>
      <c r="HS43" s="329"/>
      <c r="HT43" s="329"/>
      <c r="HU43" s="329"/>
      <c r="HV43" s="329"/>
      <c r="HW43" s="329"/>
      <c r="HX43" s="329"/>
      <c r="HY43" s="329"/>
      <c r="HZ43" s="329"/>
      <c r="IA43" s="329"/>
      <c r="IB43" s="329"/>
      <c r="IC43" s="329"/>
      <c r="ID43" s="329"/>
      <c r="IE43" s="329"/>
      <c r="IF43" s="329"/>
      <c r="IG43" s="329"/>
      <c r="IH43" s="329"/>
      <c r="II43" s="329"/>
      <c r="IJ43" s="329"/>
      <c r="IK43" s="329"/>
      <c r="IL43" s="329"/>
      <c r="IM43" s="329"/>
      <c r="IN43" s="329"/>
      <c r="IO43" s="329"/>
      <c r="IP43" s="329"/>
      <c r="IQ43" s="329"/>
      <c r="IR43" s="329"/>
      <c r="IS43" s="329"/>
    </row>
    <row r="44" spans="1:253">
      <c r="A44" s="195"/>
      <c r="B44" s="231"/>
      <c r="C44" s="143"/>
      <c r="D44" s="216"/>
      <c r="E44" s="202"/>
      <c r="F44" s="201"/>
      <c r="G44" s="201"/>
      <c r="H44" s="201"/>
      <c r="I44" s="201"/>
      <c r="J44" s="201"/>
      <c r="K44" s="217"/>
      <c r="L44" s="201"/>
      <c r="M44" s="201"/>
      <c r="N44" s="202"/>
      <c r="O44" s="201"/>
      <c r="P44" s="203"/>
      <c r="Q44" s="201"/>
      <c r="R44" s="284"/>
      <c r="S44" s="204"/>
      <c r="T44" s="204"/>
    </row>
    <row r="45" spans="1:253">
      <c r="A45" s="195"/>
      <c r="B45" s="208"/>
      <c r="C45" s="144"/>
      <c r="D45" s="209"/>
      <c r="E45" s="210"/>
      <c r="F45" s="211"/>
      <c r="G45" s="211"/>
      <c r="H45" s="211"/>
      <c r="I45" s="211"/>
      <c r="J45" s="211"/>
      <c r="K45" s="212"/>
      <c r="L45" s="211"/>
      <c r="M45" s="211"/>
      <c r="N45" s="210"/>
      <c r="O45" s="211"/>
      <c r="P45" s="203"/>
      <c r="Q45" s="201"/>
      <c r="R45" s="284"/>
      <c r="S45" s="204"/>
      <c r="T45" s="204" t="s">
        <v>5</v>
      </c>
      <c r="X45" s="214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</row>
    <row r="46" spans="1:253">
      <c r="A46" s="195"/>
      <c r="B46" s="185" t="s">
        <v>115</v>
      </c>
      <c r="C46" s="145"/>
      <c r="D46" s="186"/>
      <c r="E46" s="225"/>
      <c r="F46" s="226"/>
      <c r="G46" s="226"/>
      <c r="H46" s="226"/>
      <c r="I46" s="226"/>
      <c r="J46" s="226"/>
      <c r="K46" s="227"/>
      <c r="L46" s="226"/>
      <c r="M46" s="226"/>
      <c r="N46" s="225"/>
      <c r="O46" s="226"/>
      <c r="P46" s="203"/>
      <c r="Q46" s="201"/>
      <c r="R46" s="284"/>
      <c r="S46" s="204"/>
      <c r="T46" s="204" t="s">
        <v>5</v>
      </c>
      <c r="X46" s="193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</row>
    <row r="47" spans="1:253">
      <c r="A47" s="195"/>
      <c r="B47" s="232" t="s">
        <v>116</v>
      </c>
      <c r="C47" s="143" t="s">
        <v>165</v>
      </c>
      <c r="D47" s="233">
        <v>100000</v>
      </c>
      <c r="E47" s="201">
        <v>1</v>
      </c>
      <c r="F47" s="201">
        <f t="shared" ref="F47:F68" si="17">ROUND(E47*D47,0)</f>
        <v>100000</v>
      </c>
      <c r="G47" s="201">
        <v>0</v>
      </c>
      <c r="H47" s="201">
        <f t="shared" ref="H47:H69" si="18">ROUND(G47*D47*usinflation_yr2,0)</f>
        <v>0</v>
      </c>
      <c r="I47" s="201"/>
      <c r="J47" s="201">
        <f t="shared" ref="J47:J55" si="19">ROUND(I47*D47*usinflation_yr3,0)</f>
        <v>0</v>
      </c>
      <c r="K47" s="200">
        <f t="shared" ref="K47:K68" si="20">J47/$D$2</f>
        <v>0</v>
      </c>
      <c r="L47" s="201">
        <v>0</v>
      </c>
      <c r="M47" s="201">
        <f t="shared" ref="M47:M55" si="21">ROUND(L47*D47*usinflation_yr4,0)</f>
        <v>0</v>
      </c>
      <c r="N47" s="201">
        <v>0</v>
      </c>
      <c r="O47" s="201">
        <f t="shared" ref="O47:O55" si="22">ROUND(N47*D47*usinflation_yr5,0)</f>
        <v>0</v>
      </c>
      <c r="P47" s="203">
        <f t="shared" ref="P47:P69" si="23">E47+G47+I47+L47+N47</f>
        <v>1</v>
      </c>
      <c r="Q47" s="201">
        <f t="shared" ref="Q47:Q70" si="24">O47+M47+J47+H47+F47</f>
        <v>100000</v>
      </c>
      <c r="R47" s="284">
        <f t="shared" ref="R47:R68" si="25">+Q47/DollarLC</f>
        <v>1538.4615384615386</v>
      </c>
      <c r="S47" s="204">
        <f>+D47*E47</f>
        <v>100000</v>
      </c>
      <c r="T47" s="204">
        <f>+S47-F47</f>
        <v>0</v>
      </c>
      <c r="U47" s="160">
        <v>0.3</v>
      </c>
      <c r="V47" s="160">
        <v>0.3</v>
      </c>
      <c r="W47" s="160">
        <v>0.4</v>
      </c>
      <c r="AD47" s="159">
        <f t="shared" ref="AD47:AG49" si="26">$R47*U47</f>
        <v>461.53846153846155</v>
      </c>
      <c r="AE47" s="159">
        <f t="shared" si="26"/>
        <v>461.53846153846155</v>
      </c>
      <c r="AF47" s="159">
        <f t="shared" si="26"/>
        <v>615.38461538461547</v>
      </c>
      <c r="AG47" s="159">
        <f t="shared" si="26"/>
        <v>0</v>
      </c>
    </row>
    <row r="48" spans="1:253">
      <c r="A48" s="195"/>
      <c r="B48" s="232" t="s">
        <v>126</v>
      </c>
      <c r="C48" s="143" t="s">
        <v>165</v>
      </c>
      <c r="D48" s="233">
        <v>20000</v>
      </c>
      <c r="E48" s="201">
        <f>E47</f>
        <v>1</v>
      </c>
      <c r="F48" s="201">
        <f t="shared" si="17"/>
        <v>20000</v>
      </c>
      <c r="G48" s="201">
        <v>0</v>
      </c>
      <c r="H48" s="201">
        <f t="shared" si="18"/>
        <v>0</v>
      </c>
      <c r="I48" s="201"/>
      <c r="J48" s="201">
        <f t="shared" si="19"/>
        <v>0</v>
      </c>
      <c r="K48" s="200">
        <f t="shared" si="20"/>
        <v>0</v>
      </c>
      <c r="L48" s="201">
        <v>0</v>
      </c>
      <c r="M48" s="201">
        <f t="shared" si="21"/>
        <v>0</v>
      </c>
      <c r="N48" s="201">
        <v>0</v>
      </c>
      <c r="O48" s="201">
        <f t="shared" si="22"/>
        <v>0</v>
      </c>
      <c r="P48" s="203">
        <f t="shared" si="23"/>
        <v>1</v>
      </c>
      <c r="Q48" s="201">
        <f t="shared" si="24"/>
        <v>20000</v>
      </c>
      <c r="R48" s="284">
        <f t="shared" si="25"/>
        <v>307.69230769230768</v>
      </c>
      <c r="S48" s="204">
        <f>+D48*E48</f>
        <v>20000</v>
      </c>
      <c r="T48" s="204">
        <f>+S48-F48</f>
        <v>0</v>
      </c>
      <c r="U48" s="160">
        <v>0.3</v>
      </c>
      <c r="V48" s="160">
        <v>0.3</v>
      </c>
      <c r="W48" s="160">
        <v>0.4</v>
      </c>
      <c r="AD48" s="159">
        <f t="shared" si="26"/>
        <v>92.307692307692307</v>
      </c>
      <c r="AE48" s="159">
        <f t="shared" si="26"/>
        <v>92.307692307692307</v>
      </c>
      <c r="AF48" s="159">
        <f t="shared" si="26"/>
        <v>123.07692307692308</v>
      </c>
      <c r="AG48" s="159">
        <f t="shared" si="26"/>
        <v>0</v>
      </c>
    </row>
    <row r="49" spans="1:33">
      <c r="A49" s="195"/>
      <c r="B49" s="232" t="s">
        <v>117</v>
      </c>
      <c r="C49" s="143" t="s">
        <v>6</v>
      </c>
      <c r="D49" s="233">
        <v>3000</v>
      </c>
      <c r="E49" s="201">
        <f>E47*15</f>
        <v>15</v>
      </c>
      <c r="F49" s="201">
        <f t="shared" si="17"/>
        <v>45000</v>
      </c>
      <c r="G49" s="201">
        <v>0</v>
      </c>
      <c r="H49" s="201">
        <f t="shared" si="18"/>
        <v>0</v>
      </c>
      <c r="I49" s="201"/>
      <c r="J49" s="201">
        <f t="shared" si="19"/>
        <v>0</v>
      </c>
      <c r="K49" s="200">
        <f t="shared" si="20"/>
        <v>0</v>
      </c>
      <c r="L49" s="201">
        <v>0</v>
      </c>
      <c r="M49" s="201">
        <f t="shared" si="21"/>
        <v>0</v>
      </c>
      <c r="N49" s="201">
        <v>0</v>
      </c>
      <c r="O49" s="201">
        <f t="shared" si="22"/>
        <v>0</v>
      </c>
      <c r="P49" s="203">
        <f t="shared" si="23"/>
        <v>15</v>
      </c>
      <c r="Q49" s="201">
        <f t="shared" si="24"/>
        <v>45000</v>
      </c>
      <c r="R49" s="284">
        <f t="shared" si="25"/>
        <v>692.30769230769226</v>
      </c>
      <c r="S49" s="204">
        <f>+D49*E49</f>
        <v>45000</v>
      </c>
      <c r="T49" s="204">
        <f>+S49-F49</f>
        <v>0</v>
      </c>
      <c r="U49" s="160">
        <v>0.3</v>
      </c>
      <c r="V49" s="160">
        <v>0.3</v>
      </c>
      <c r="W49" s="160">
        <v>0.4</v>
      </c>
      <c r="AD49" s="159">
        <f t="shared" si="26"/>
        <v>207.69230769230768</v>
      </c>
      <c r="AE49" s="159">
        <f t="shared" si="26"/>
        <v>207.69230769230768</v>
      </c>
      <c r="AF49" s="159">
        <f t="shared" si="26"/>
        <v>276.92307692307691</v>
      </c>
      <c r="AG49" s="159">
        <f t="shared" si="26"/>
        <v>0</v>
      </c>
    </row>
    <row r="50" spans="1:33">
      <c r="A50" s="195"/>
      <c r="B50" s="232" t="s">
        <v>127</v>
      </c>
      <c r="C50" s="143" t="s">
        <v>165</v>
      </c>
      <c r="D50" s="233">
        <v>20000</v>
      </c>
      <c r="E50" s="201">
        <v>2</v>
      </c>
      <c r="F50" s="201">
        <f t="shared" si="17"/>
        <v>40000</v>
      </c>
      <c r="G50" s="201">
        <v>0</v>
      </c>
      <c r="H50" s="201">
        <f t="shared" si="18"/>
        <v>0</v>
      </c>
      <c r="I50" s="201"/>
      <c r="J50" s="201">
        <f t="shared" si="19"/>
        <v>0</v>
      </c>
      <c r="K50" s="200">
        <f t="shared" si="20"/>
        <v>0</v>
      </c>
      <c r="L50" s="201">
        <v>0</v>
      </c>
      <c r="M50" s="201">
        <f t="shared" si="21"/>
        <v>0</v>
      </c>
      <c r="N50" s="201">
        <v>0</v>
      </c>
      <c r="O50" s="201">
        <f t="shared" si="22"/>
        <v>0</v>
      </c>
      <c r="P50" s="203">
        <f t="shared" si="23"/>
        <v>2</v>
      </c>
      <c r="Q50" s="201">
        <f t="shared" si="24"/>
        <v>40000</v>
      </c>
      <c r="R50" s="284">
        <f t="shared" si="25"/>
        <v>615.38461538461536</v>
      </c>
      <c r="S50" s="204"/>
      <c r="T50" s="204"/>
      <c r="AD50" s="159"/>
      <c r="AE50" s="159"/>
      <c r="AF50" s="159"/>
      <c r="AG50" s="159"/>
    </row>
    <row r="51" spans="1:33">
      <c r="A51" s="195"/>
      <c r="B51" s="234" t="s">
        <v>118</v>
      </c>
      <c r="C51" s="154" t="s">
        <v>6</v>
      </c>
      <c r="D51" s="235">
        <v>2000</v>
      </c>
      <c r="E51" s="201">
        <v>0</v>
      </c>
      <c r="F51" s="201">
        <f t="shared" si="17"/>
        <v>0</v>
      </c>
      <c r="G51" s="201">
        <v>0</v>
      </c>
      <c r="H51" s="201">
        <f t="shared" si="18"/>
        <v>0</v>
      </c>
      <c r="I51" s="201"/>
      <c r="J51" s="201">
        <f t="shared" si="19"/>
        <v>0</v>
      </c>
      <c r="K51" s="200">
        <f t="shared" si="20"/>
        <v>0</v>
      </c>
      <c r="L51" s="201">
        <v>0</v>
      </c>
      <c r="M51" s="201">
        <f t="shared" si="21"/>
        <v>0</v>
      </c>
      <c r="N51" s="201">
        <v>0</v>
      </c>
      <c r="O51" s="201">
        <f t="shared" si="22"/>
        <v>0</v>
      </c>
      <c r="P51" s="203">
        <f t="shared" si="23"/>
        <v>0</v>
      </c>
      <c r="Q51" s="201">
        <f t="shared" si="24"/>
        <v>0</v>
      </c>
      <c r="R51" s="284">
        <f t="shared" si="25"/>
        <v>0</v>
      </c>
      <c r="S51" s="204"/>
      <c r="T51" s="204"/>
      <c r="AD51" s="159"/>
      <c r="AE51" s="159"/>
      <c r="AF51" s="159"/>
      <c r="AG51" s="159"/>
    </row>
    <row r="52" spans="1:33">
      <c r="A52" s="195"/>
      <c r="B52" s="232" t="s">
        <v>119</v>
      </c>
      <c r="C52" s="143" t="s">
        <v>6</v>
      </c>
      <c r="D52" s="233">
        <v>2500</v>
      </c>
      <c r="E52" s="201">
        <f>E50*8</f>
        <v>16</v>
      </c>
      <c r="F52" s="201">
        <f t="shared" si="17"/>
        <v>40000</v>
      </c>
      <c r="G52" s="201">
        <f>G50*6</f>
        <v>0</v>
      </c>
      <c r="H52" s="201">
        <f t="shared" si="18"/>
        <v>0</v>
      </c>
      <c r="I52" s="201"/>
      <c r="J52" s="201">
        <f t="shared" si="19"/>
        <v>0</v>
      </c>
      <c r="K52" s="200">
        <f t="shared" si="20"/>
        <v>0</v>
      </c>
      <c r="L52" s="201">
        <v>0</v>
      </c>
      <c r="M52" s="201">
        <f t="shared" si="21"/>
        <v>0</v>
      </c>
      <c r="N52" s="201">
        <v>0</v>
      </c>
      <c r="O52" s="201">
        <f t="shared" si="22"/>
        <v>0</v>
      </c>
      <c r="P52" s="203">
        <f t="shared" si="23"/>
        <v>16</v>
      </c>
      <c r="Q52" s="201">
        <f t="shared" si="24"/>
        <v>40000</v>
      </c>
      <c r="R52" s="284">
        <f t="shared" si="25"/>
        <v>615.38461538461536</v>
      </c>
      <c r="S52" s="204"/>
      <c r="T52" s="204"/>
      <c r="AD52" s="159"/>
      <c r="AE52" s="159"/>
      <c r="AF52" s="159"/>
      <c r="AG52" s="159"/>
    </row>
    <row r="53" spans="1:33">
      <c r="A53" s="195"/>
      <c r="B53" s="232" t="s">
        <v>120</v>
      </c>
      <c r="C53" s="143" t="s">
        <v>6</v>
      </c>
      <c r="D53" s="233">
        <v>800</v>
      </c>
      <c r="E53" s="201">
        <f>E52</f>
        <v>16</v>
      </c>
      <c r="F53" s="201">
        <f t="shared" si="17"/>
        <v>12800</v>
      </c>
      <c r="G53" s="201">
        <f>G52</f>
        <v>0</v>
      </c>
      <c r="H53" s="201">
        <f t="shared" si="18"/>
        <v>0</v>
      </c>
      <c r="I53" s="201"/>
      <c r="J53" s="201">
        <f t="shared" si="19"/>
        <v>0</v>
      </c>
      <c r="K53" s="200">
        <f t="shared" si="20"/>
        <v>0</v>
      </c>
      <c r="L53" s="201">
        <v>0</v>
      </c>
      <c r="M53" s="201">
        <f t="shared" si="21"/>
        <v>0</v>
      </c>
      <c r="N53" s="201">
        <v>0</v>
      </c>
      <c r="O53" s="201">
        <f t="shared" si="22"/>
        <v>0</v>
      </c>
      <c r="P53" s="203">
        <f t="shared" si="23"/>
        <v>16</v>
      </c>
      <c r="Q53" s="201">
        <f t="shared" si="24"/>
        <v>12800</v>
      </c>
      <c r="R53" s="284">
        <f t="shared" si="25"/>
        <v>196.92307692307693</v>
      </c>
      <c r="S53" s="204"/>
      <c r="T53" s="204"/>
      <c r="AD53" s="159"/>
      <c r="AE53" s="159"/>
      <c r="AF53" s="159"/>
      <c r="AG53" s="159"/>
    </row>
    <row r="54" spans="1:33">
      <c r="A54" s="195"/>
      <c r="B54" s="232" t="s">
        <v>128</v>
      </c>
      <c r="C54" s="143" t="s">
        <v>165</v>
      </c>
      <c r="D54" s="233">
        <v>20000</v>
      </c>
      <c r="E54" s="201">
        <v>0</v>
      </c>
      <c r="F54" s="201">
        <f t="shared" si="17"/>
        <v>0</v>
      </c>
      <c r="G54" s="201">
        <v>0</v>
      </c>
      <c r="H54" s="201">
        <f t="shared" si="18"/>
        <v>0</v>
      </c>
      <c r="I54" s="201"/>
      <c r="J54" s="201">
        <f t="shared" si="19"/>
        <v>0</v>
      </c>
      <c r="K54" s="200">
        <f t="shared" si="20"/>
        <v>0</v>
      </c>
      <c r="L54" s="201">
        <v>0</v>
      </c>
      <c r="M54" s="201">
        <f t="shared" si="21"/>
        <v>0</v>
      </c>
      <c r="N54" s="201">
        <v>0</v>
      </c>
      <c r="O54" s="201">
        <f t="shared" si="22"/>
        <v>0</v>
      </c>
      <c r="P54" s="203">
        <f t="shared" si="23"/>
        <v>0</v>
      </c>
      <c r="Q54" s="201">
        <f t="shared" si="24"/>
        <v>0</v>
      </c>
      <c r="R54" s="284">
        <f t="shared" si="25"/>
        <v>0</v>
      </c>
      <c r="S54" s="204"/>
      <c r="T54" s="204"/>
      <c r="AD54" s="159"/>
      <c r="AE54" s="159"/>
      <c r="AF54" s="159"/>
      <c r="AG54" s="159"/>
    </row>
    <row r="55" spans="1:33">
      <c r="A55" s="195"/>
      <c r="B55" s="232" t="s">
        <v>121</v>
      </c>
      <c r="C55" s="143" t="s">
        <v>6</v>
      </c>
      <c r="D55" s="233">
        <v>200</v>
      </c>
      <c r="E55" s="201">
        <v>0</v>
      </c>
      <c r="F55" s="201">
        <f t="shared" si="17"/>
        <v>0</v>
      </c>
      <c r="G55" s="201">
        <v>0</v>
      </c>
      <c r="H55" s="201">
        <f t="shared" si="18"/>
        <v>0</v>
      </c>
      <c r="I55" s="201"/>
      <c r="J55" s="201">
        <f t="shared" si="19"/>
        <v>0</v>
      </c>
      <c r="K55" s="200">
        <f t="shared" si="20"/>
        <v>0</v>
      </c>
      <c r="L55" s="201">
        <v>0</v>
      </c>
      <c r="M55" s="201">
        <f t="shared" si="21"/>
        <v>0</v>
      </c>
      <c r="N55" s="201">
        <v>0</v>
      </c>
      <c r="O55" s="201">
        <f t="shared" si="22"/>
        <v>0</v>
      </c>
      <c r="P55" s="203">
        <f t="shared" si="23"/>
        <v>0</v>
      </c>
      <c r="Q55" s="201">
        <f t="shared" si="24"/>
        <v>0</v>
      </c>
      <c r="R55" s="284">
        <f t="shared" si="25"/>
        <v>0</v>
      </c>
      <c r="S55" s="204"/>
      <c r="T55" s="204"/>
      <c r="AD55" s="159"/>
      <c r="AE55" s="159"/>
      <c r="AF55" s="159"/>
      <c r="AG55" s="159"/>
    </row>
    <row r="56" spans="1:33">
      <c r="A56" s="195"/>
      <c r="B56" s="232" t="s">
        <v>288</v>
      </c>
      <c r="C56" s="143" t="s">
        <v>165</v>
      </c>
      <c r="D56" s="233">
        <v>100000</v>
      </c>
      <c r="E56" s="201">
        <v>0</v>
      </c>
      <c r="F56" s="201">
        <f t="shared" si="17"/>
        <v>0</v>
      </c>
      <c r="G56" s="201">
        <v>0</v>
      </c>
      <c r="H56" s="201">
        <f t="shared" si="18"/>
        <v>0</v>
      </c>
      <c r="I56" s="201"/>
      <c r="J56" s="201"/>
      <c r="K56" s="200"/>
      <c r="L56" s="201"/>
      <c r="M56" s="201"/>
      <c r="N56" s="201"/>
      <c r="O56" s="201"/>
      <c r="P56" s="203">
        <f t="shared" si="23"/>
        <v>0</v>
      </c>
      <c r="Q56" s="201">
        <f t="shared" si="24"/>
        <v>0</v>
      </c>
      <c r="R56" s="284">
        <f t="shared" si="25"/>
        <v>0</v>
      </c>
      <c r="S56" s="204"/>
      <c r="T56" s="204"/>
      <c r="AD56" s="159"/>
      <c r="AE56" s="159"/>
      <c r="AF56" s="159"/>
      <c r="AG56" s="159"/>
    </row>
    <row r="57" spans="1:33">
      <c r="A57" s="195"/>
      <c r="B57" s="232" t="s">
        <v>289</v>
      </c>
      <c r="C57" s="143" t="s">
        <v>165</v>
      </c>
      <c r="D57" s="233">
        <v>20000</v>
      </c>
      <c r="E57" s="201">
        <v>0</v>
      </c>
      <c r="F57" s="201">
        <f>ROUND(E57*D57,0)</f>
        <v>0</v>
      </c>
      <c r="G57" s="201">
        <v>0</v>
      </c>
      <c r="H57" s="201">
        <f t="shared" si="18"/>
        <v>0</v>
      </c>
      <c r="I57" s="201"/>
      <c r="J57" s="201"/>
      <c r="K57" s="200"/>
      <c r="L57" s="201"/>
      <c r="M57" s="201"/>
      <c r="N57" s="201"/>
      <c r="O57" s="201"/>
      <c r="P57" s="203">
        <f t="shared" si="23"/>
        <v>0</v>
      </c>
      <c r="Q57" s="201">
        <f t="shared" si="24"/>
        <v>0</v>
      </c>
      <c r="R57" s="284">
        <f t="shared" si="25"/>
        <v>0</v>
      </c>
      <c r="S57" s="204"/>
      <c r="T57" s="204"/>
      <c r="AD57" s="159"/>
      <c r="AE57" s="159"/>
      <c r="AF57" s="159"/>
      <c r="AG57" s="159"/>
    </row>
    <row r="58" spans="1:33">
      <c r="A58" s="195"/>
      <c r="B58" s="232" t="s">
        <v>285</v>
      </c>
      <c r="C58" s="143" t="s">
        <v>6</v>
      </c>
      <c r="D58" s="233">
        <v>2500</v>
      </c>
      <c r="E58" s="201">
        <v>0</v>
      </c>
      <c r="F58" s="201">
        <f t="shared" si="17"/>
        <v>0</v>
      </c>
      <c r="G58" s="201">
        <v>0</v>
      </c>
      <c r="H58" s="201">
        <f t="shared" si="18"/>
        <v>0</v>
      </c>
      <c r="I58" s="201"/>
      <c r="J58" s="201"/>
      <c r="K58" s="200"/>
      <c r="L58" s="201"/>
      <c r="M58" s="201"/>
      <c r="N58" s="201"/>
      <c r="O58" s="201"/>
      <c r="P58" s="203">
        <f t="shared" si="23"/>
        <v>0</v>
      </c>
      <c r="Q58" s="201">
        <f t="shared" si="24"/>
        <v>0</v>
      </c>
      <c r="R58" s="284">
        <f t="shared" si="25"/>
        <v>0</v>
      </c>
      <c r="S58" s="204"/>
      <c r="T58" s="204"/>
      <c r="AD58" s="159"/>
      <c r="AE58" s="159"/>
      <c r="AF58" s="159"/>
      <c r="AG58" s="159"/>
    </row>
    <row r="59" spans="1:33">
      <c r="A59" s="195"/>
      <c r="B59" s="232" t="s">
        <v>129</v>
      </c>
      <c r="C59" s="143" t="s">
        <v>165</v>
      </c>
      <c r="D59" s="233">
        <v>20000</v>
      </c>
      <c r="E59" s="201">
        <v>0</v>
      </c>
      <c r="F59" s="201">
        <f t="shared" si="17"/>
        <v>0</v>
      </c>
      <c r="G59" s="201">
        <v>0</v>
      </c>
      <c r="H59" s="201">
        <f t="shared" si="18"/>
        <v>0</v>
      </c>
      <c r="I59" s="201"/>
      <c r="J59" s="201">
        <f t="shared" ref="J59:J69" si="27">ROUND(I59*D59*usinflation_yr3,0)</f>
        <v>0</v>
      </c>
      <c r="K59" s="200">
        <f t="shared" si="20"/>
        <v>0</v>
      </c>
      <c r="L59" s="201">
        <v>0</v>
      </c>
      <c r="M59" s="201">
        <f t="shared" ref="M59:M69" si="28">ROUND(L59*D59*usinflation_yr4,0)</f>
        <v>0</v>
      </c>
      <c r="N59" s="201">
        <v>0</v>
      </c>
      <c r="O59" s="201">
        <f t="shared" ref="O59:O69" si="29">ROUND(N59*D59*usinflation_yr5,0)</f>
        <v>0</v>
      </c>
      <c r="P59" s="203">
        <f t="shared" si="23"/>
        <v>0</v>
      </c>
      <c r="Q59" s="201">
        <f t="shared" si="24"/>
        <v>0</v>
      </c>
      <c r="R59" s="284">
        <f t="shared" si="25"/>
        <v>0</v>
      </c>
      <c r="S59" s="204"/>
      <c r="T59" s="204"/>
      <c r="AD59" s="159"/>
      <c r="AE59" s="159"/>
      <c r="AF59" s="159"/>
      <c r="AG59" s="159"/>
    </row>
    <row r="60" spans="1:33">
      <c r="A60" s="195"/>
      <c r="B60" s="232" t="s">
        <v>130</v>
      </c>
      <c r="C60" s="143" t="s">
        <v>6</v>
      </c>
      <c r="D60" s="233">
        <v>2500</v>
      </c>
      <c r="E60" s="201">
        <v>0</v>
      </c>
      <c r="F60" s="201">
        <f t="shared" si="17"/>
        <v>0</v>
      </c>
      <c r="G60" s="201">
        <f>G59*3</f>
        <v>0</v>
      </c>
      <c r="H60" s="201">
        <f t="shared" si="18"/>
        <v>0</v>
      </c>
      <c r="I60" s="201"/>
      <c r="J60" s="201">
        <f t="shared" si="27"/>
        <v>0</v>
      </c>
      <c r="K60" s="200">
        <f t="shared" si="20"/>
        <v>0</v>
      </c>
      <c r="L60" s="201">
        <v>0</v>
      </c>
      <c r="M60" s="201">
        <f t="shared" si="28"/>
        <v>0</v>
      </c>
      <c r="N60" s="201">
        <v>0</v>
      </c>
      <c r="O60" s="201">
        <f t="shared" si="29"/>
        <v>0</v>
      </c>
      <c r="P60" s="203">
        <f t="shared" si="23"/>
        <v>0</v>
      </c>
      <c r="Q60" s="201">
        <f t="shared" si="24"/>
        <v>0</v>
      </c>
      <c r="R60" s="284">
        <f t="shared" si="25"/>
        <v>0</v>
      </c>
      <c r="S60" s="204"/>
      <c r="T60" s="204"/>
      <c r="AD60" s="159"/>
      <c r="AE60" s="159"/>
      <c r="AF60" s="159"/>
      <c r="AG60" s="159"/>
    </row>
    <row r="61" spans="1:33">
      <c r="A61" s="195"/>
      <c r="B61" s="232" t="s">
        <v>131</v>
      </c>
      <c r="C61" s="143" t="s">
        <v>6</v>
      </c>
      <c r="D61" s="233">
        <v>2000</v>
      </c>
      <c r="E61" s="201">
        <v>0</v>
      </c>
      <c r="F61" s="201">
        <f t="shared" si="17"/>
        <v>0</v>
      </c>
      <c r="G61" s="201">
        <f>G60</f>
        <v>0</v>
      </c>
      <c r="H61" s="201">
        <f t="shared" si="18"/>
        <v>0</v>
      </c>
      <c r="I61" s="201"/>
      <c r="J61" s="201">
        <f t="shared" si="27"/>
        <v>0</v>
      </c>
      <c r="K61" s="200">
        <f t="shared" si="20"/>
        <v>0</v>
      </c>
      <c r="L61" s="201">
        <v>0</v>
      </c>
      <c r="M61" s="201">
        <f t="shared" si="28"/>
        <v>0</v>
      </c>
      <c r="N61" s="201">
        <v>0</v>
      </c>
      <c r="O61" s="201">
        <f t="shared" si="29"/>
        <v>0</v>
      </c>
      <c r="P61" s="203">
        <f t="shared" si="23"/>
        <v>0</v>
      </c>
      <c r="Q61" s="201">
        <f t="shared" si="24"/>
        <v>0</v>
      </c>
      <c r="R61" s="284">
        <f t="shared" si="25"/>
        <v>0</v>
      </c>
      <c r="S61" s="204"/>
      <c r="T61" s="204"/>
      <c r="AD61" s="159"/>
      <c r="AE61" s="159"/>
      <c r="AF61" s="159"/>
      <c r="AG61" s="159"/>
    </row>
    <row r="62" spans="1:33">
      <c r="A62" s="195"/>
      <c r="B62" s="232" t="s">
        <v>132</v>
      </c>
      <c r="C62" s="143" t="s">
        <v>6</v>
      </c>
      <c r="D62" s="233">
        <v>300</v>
      </c>
      <c r="E62" s="201">
        <f>E61</f>
        <v>0</v>
      </c>
      <c r="F62" s="201">
        <f t="shared" si="17"/>
        <v>0</v>
      </c>
      <c r="G62" s="201">
        <f>G61</f>
        <v>0</v>
      </c>
      <c r="H62" s="201">
        <f t="shared" si="18"/>
        <v>0</v>
      </c>
      <c r="I62" s="201"/>
      <c r="J62" s="201">
        <f t="shared" si="27"/>
        <v>0</v>
      </c>
      <c r="K62" s="200">
        <f t="shared" si="20"/>
        <v>0</v>
      </c>
      <c r="L62" s="201">
        <v>0</v>
      </c>
      <c r="M62" s="201">
        <f t="shared" si="28"/>
        <v>0</v>
      </c>
      <c r="N62" s="201">
        <v>0</v>
      </c>
      <c r="O62" s="201">
        <f t="shared" si="29"/>
        <v>0</v>
      </c>
      <c r="P62" s="203">
        <f t="shared" si="23"/>
        <v>0</v>
      </c>
      <c r="Q62" s="201">
        <f t="shared" si="24"/>
        <v>0</v>
      </c>
      <c r="R62" s="284">
        <f t="shared" si="25"/>
        <v>0</v>
      </c>
      <c r="S62" s="204"/>
      <c r="T62" s="204"/>
      <c r="AD62" s="159"/>
      <c r="AE62" s="159"/>
      <c r="AF62" s="159"/>
      <c r="AG62" s="159"/>
    </row>
    <row r="63" spans="1:33">
      <c r="A63" s="195"/>
      <c r="B63" s="232" t="s">
        <v>122</v>
      </c>
      <c r="C63" s="143" t="s">
        <v>354</v>
      </c>
      <c r="D63" s="233">
        <v>3</v>
      </c>
      <c r="E63" s="201">
        <f>70*25*E20*E24</f>
        <v>14000</v>
      </c>
      <c r="F63" s="201">
        <f t="shared" si="17"/>
        <v>42000</v>
      </c>
      <c r="G63" s="201">
        <f>Assumptions!G29*G24</f>
        <v>0</v>
      </c>
      <c r="H63" s="201">
        <f t="shared" si="18"/>
        <v>0</v>
      </c>
      <c r="I63" s="201"/>
      <c r="J63" s="201">
        <f t="shared" si="27"/>
        <v>0</v>
      </c>
      <c r="K63" s="200">
        <f t="shared" si="20"/>
        <v>0</v>
      </c>
      <c r="L63" s="201">
        <v>0</v>
      </c>
      <c r="M63" s="201">
        <f t="shared" si="28"/>
        <v>0</v>
      </c>
      <c r="N63" s="201">
        <v>0</v>
      </c>
      <c r="O63" s="201">
        <f t="shared" si="29"/>
        <v>0</v>
      </c>
      <c r="P63" s="203">
        <f t="shared" si="23"/>
        <v>14000</v>
      </c>
      <c r="Q63" s="201">
        <f t="shared" si="24"/>
        <v>42000</v>
      </c>
      <c r="R63" s="284">
        <f t="shared" si="25"/>
        <v>646.15384615384619</v>
      </c>
      <c r="S63" s="204"/>
      <c r="T63" s="204"/>
      <c r="AD63" s="159"/>
      <c r="AE63" s="159"/>
      <c r="AF63" s="159"/>
      <c r="AG63" s="159"/>
    </row>
    <row r="64" spans="1:33">
      <c r="A64" s="195"/>
      <c r="B64" s="232" t="s">
        <v>133</v>
      </c>
      <c r="C64" s="143" t="s">
        <v>165</v>
      </c>
      <c r="D64" s="233">
        <v>20000</v>
      </c>
      <c r="E64" s="201">
        <v>0</v>
      </c>
      <c r="F64" s="201">
        <f t="shared" si="17"/>
        <v>0</v>
      </c>
      <c r="G64" s="201">
        <v>0</v>
      </c>
      <c r="H64" s="201">
        <f t="shared" si="18"/>
        <v>0</v>
      </c>
      <c r="I64" s="201"/>
      <c r="J64" s="201">
        <f t="shared" si="27"/>
        <v>0</v>
      </c>
      <c r="K64" s="200">
        <f t="shared" si="20"/>
        <v>0</v>
      </c>
      <c r="L64" s="201">
        <v>0</v>
      </c>
      <c r="M64" s="201">
        <f t="shared" si="28"/>
        <v>0</v>
      </c>
      <c r="N64" s="201">
        <v>0</v>
      </c>
      <c r="O64" s="201">
        <f t="shared" si="29"/>
        <v>0</v>
      </c>
      <c r="P64" s="203">
        <f t="shared" si="23"/>
        <v>0</v>
      </c>
      <c r="Q64" s="201">
        <f t="shared" si="24"/>
        <v>0</v>
      </c>
      <c r="R64" s="284">
        <f t="shared" si="25"/>
        <v>0</v>
      </c>
      <c r="S64" s="204"/>
      <c r="T64" s="204"/>
      <c r="AD64" s="159"/>
      <c r="AE64" s="159"/>
      <c r="AF64" s="159"/>
      <c r="AG64" s="159"/>
    </row>
    <row r="65" spans="1:253">
      <c r="A65" s="195"/>
      <c r="B65" s="232" t="s">
        <v>123</v>
      </c>
      <c r="C65" s="143" t="s">
        <v>6</v>
      </c>
      <c r="D65" s="233">
        <v>2500</v>
      </c>
      <c r="E65" s="201">
        <f>E64*4</f>
        <v>0</v>
      </c>
      <c r="F65" s="201">
        <f t="shared" si="17"/>
        <v>0</v>
      </c>
      <c r="G65" s="201">
        <f>G64*4</f>
        <v>0</v>
      </c>
      <c r="H65" s="201">
        <f t="shared" si="18"/>
        <v>0</v>
      </c>
      <c r="I65" s="201"/>
      <c r="J65" s="201">
        <f t="shared" si="27"/>
        <v>0</v>
      </c>
      <c r="K65" s="200">
        <f t="shared" si="20"/>
        <v>0</v>
      </c>
      <c r="L65" s="201">
        <v>0</v>
      </c>
      <c r="M65" s="201">
        <f t="shared" si="28"/>
        <v>0</v>
      </c>
      <c r="N65" s="201">
        <v>0</v>
      </c>
      <c r="O65" s="201">
        <f t="shared" si="29"/>
        <v>0</v>
      </c>
      <c r="P65" s="203">
        <f t="shared" si="23"/>
        <v>0</v>
      </c>
      <c r="Q65" s="201">
        <f t="shared" si="24"/>
        <v>0</v>
      </c>
      <c r="R65" s="284">
        <f t="shared" si="25"/>
        <v>0</v>
      </c>
      <c r="S65" s="204"/>
      <c r="T65" s="204"/>
      <c r="AD65" s="159"/>
      <c r="AE65" s="159"/>
      <c r="AF65" s="159"/>
      <c r="AG65" s="159"/>
    </row>
    <row r="66" spans="1:253">
      <c r="A66" s="195"/>
      <c r="B66" s="232" t="s">
        <v>124</v>
      </c>
      <c r="C66" s="143" t="s">
        <v>6</v>
      </c>
      <c r="D66" s="233">
        <v>2000</v>
      </c>
      <c r="E66" s="201">
        <f>E65</f>
        <v>0</v>
      </c>
      <c r="F66" s="201">
        <f t="shared" si="17"/>
        <v>0</v>
      </c>
      <c r="G66" s="201">
        <f>G65</f>
        <v>0</v>
      </c>
      <c r="H66" s="201">
        <f t="shared" si="18"/>
        <v>0</v>
      </c>
      <c r="I66" s="201"/>
      <c r="J66" s="201">
        <f t="shared" si="27"/>
        <v>0</v>
      </c>
      <c r="K66" s="200">
        <f t="shared" si="20"/>
        <v>0</v>
      </c>
      <c r="L66" s="201">
        <v>0</v>
      </c>
      <c r="M66" s="201">
        <f t="shared" si="28"/>
        <v>0</v>
      </c>
      <c r="N66" s="201">
        <v>0</v>
      </c>
      <c r="O66" s="201">
        <f t="shared" si="29"/>
        <v>0</v>
      </c>
      <c r="P66" s="203">
        <f t="shared" si="23"/>
        <v>0</v>
      </c>
      <c r="Q66" s="201">
        <f t="shared" si="24"/>
        <v>0</v>
      </c>
      <c r="R66" s="284">
        <f t="shared" si="25"/>
        <v>0</v>
      </c>
      <c r="S66" s="204"/>
      <c r="T66" s="204"/>
      <c r="AD66" s="159"/>
      <c r="AE66" s="159"/>
      <c r="AF66" s="159"/>
      <c r="AG66" s="159"/>
    </row>
    <row r="67" spans="1:253">
      <c r="A67" s="195"/>
      <c r="B67" s="232" t="s">
        <v>125</v>
      </c>
      <c r="C67" s="143" t="s">
        <v>6</v>
      </c>
      <c r="D67" s="233">
        <v>300</v>
      </c>
      <c r="E67" s="201">
        <f>E66</f>
        <v>0</v>
      </c>
      <c r="F67" s="201">
        <f t="shared" si="17"/>
        <v>0</v>
      </c>
      <c r="G67" s="201">
        <f>G66</f>
        <v>0</v>
      </c>
      <c r="H67" s="201">
        <f t="shared" si="18"/>
        <v>0</v>
      </c>
      <c r="I67" s="201"/>
      <c r="J67" s="201">
        <f t="shared" si="27"/>
        <v>0</v>
      </c>
      <c r="K67" s="200">
        <f t="shared" si="20"/>
        <v>0</v>
      </c>
      <c r="L67" s="201">
        <v>0</v>
      </c>
      <c r="M67" s="201">
        <f t="shared" si="28"/>
        <v>0</v>
      </c>
      <c r="N67" s="201">
        <v>0</v>
      </c>
      <c r="O67" s="201">
        <f t="shared" si="29"/>
        <v>0</v>
      </c>
      <c r="P67" s="203">
        <f t="shared" si="23"/>
        <v>0</v>
      </c>
      <c r="Q67" s="201">
        <f t="shared" si="24"/>
        <v>0</v>
      </c>
      <c r="R67" s="284">
        <f t="shared" si="25"/>
        <v>0</v>
      </c>
      <c r="S67" s="204"/>
      <c r="T67" s="204"/>
      <c r="AD67" s="159"/>
      <c r="AE67" s="159"/>
      <c r="AF67" s="159"/>
      <c r="AG67" s="159"/>
    </row>
    <row r="68" spans="1:253">
      <c r="A68" s="195"/>
      <c r="B68" s="196" t="s">
        <v>73</v>
      </c>
      <c r="C68" s="143" t="s">
        <v>13</v>
      </c>
      <c r="D68" s="233">
        <v>0</v>
      </c>
      <c r="E68" s="201">
        <v>0</v>
      </c>
      <c r="F68" s="201">
        <f t="shared" si="17"/>
        <v>0</v>
      </c>
      <c r="G68" s="201">
        <v>0</v>
      </c>
      <c r="H68" s="201">
        <f t="shared" si="18"/>
        <v>0</v>
      </c>
      <c r="I68" s="201"/>
      <c r="J68" s="201">
        <f t="shared" si="27"/>
        <v>0</v>
      </c>
      <c r="K68" s="200">
        <f t="shared" si="20"/>
        <v>0</v>
      </c>
      <c r="L68" s="201">
        <v>0</v>
      </c>
      <c r="M68" s="201">
        <f t="shared" si="28"/>
        <v>0</v>
      </c>
      <c r="N68" s="201">
        <v>0</v>
      </c>
      <c r="O68" s="201">
        <f t="shared" si="29"/>
        <v>0</v>
      </c>
      <c r="P68" s="203">
        <f t="shared" si="23"/>
        <v>0</v>
      </c>
      <c r="Q68" s="201">
        <f t="shared" si="24"/>
        <v>0</v>
      </c>
      <c r="R68" s="284">
        <f t="shared" si="25"/>
        <v>0</v>
      </c>
      <c r="S68" s="204">
        <f>+D68*E68</f>
        <v>0</v>
      </c>
      <c r="T68" s="204">
        <f>+S68-F68</f>
        <v>0</v>
      </c>
      <c r="U68" s="160">
        <v>0.3</v>
      </c>
      <c r="V68" s="160">
        <v>0.3</v>
      </c>
      <c r="W68" s="160">
        <v>0.4</v>
      </c>
      <c r="AD68" s="159">
        <f t="shared" ref="AD68:AG68" si="30">$R68*U68</f>
        <v>0</v>
      </c>
      <c r="AE68" s="159">
        <f t="shared" si="30"/>
        <v>0</v>
      </c>
      <c r="AF68" s="159">
        <f t="shared" si="30"/>
        <v>0</v>
      </c>
      <c r="AG68" s="159">
        <f t="shared" si="30"/>
        <v>0</v>
      </c>
    </row>
    <row r="69" spans="1:253">
      <c r="A69" s="195"/>
      <c r="B69" s="196" t="s">
        <v>135</v>
      </c>
      <c r="C69" s="143" t="s">
        <v>165</v>
      </c>
      <c r="D69" s="233">
        <v>20000</v>
      </c>
      <c r="E69" s="201">
        <v>0</v>
      </c>
      <c r="F69" s="201">
        <f>ROUND(E69*D69,0)</f>
        <v>0</v>
      </c>
      <c r="G69" s="201">
        <v>0</v>
      </c>
      <c r="H69" s="201">
        <f t="shared" si="18"/>
        <v>0</v>
      </c>
      <c r="I69" s="201"/>
      <c r="J69" s="201">
        <f t="shared" si="27"/>
        <v>0</v>
      </c>
      <c r="K69" s="200">
        <f>J69/$D$2</f>
        <v>0</v>
      </c>
      <c r="L69" s="201">
        <v>0</v>
      </c>
      <c r="M69" s="201">
        <f t="shared" si="28"/>
        <v>0</v>
      </c>
      <c r="N69" s="201">
        <v>0</v>
      </c>
      <c r="O69" s="201">
        <f t="shared" si="29"/>
        <v>0</v>
      </c>
      <c r="P69" s="203">
        <f t="shared" si="23"/>
        <v>0</v>
      </c>
      <c r="Q69" s="201">
        <f t="shared" si="24"/>
        <v>0</v>
      </c>
      <c r="R69" s="284">
        <f>+Q69/DollarLC</f>
        <v>0</v>
      </c>
      <c r="S69" s="204">
        <f>+D69*E69</f>
        <v>0</v>
      </c>
      <c r="T69" s="204">
        <f>+S69-F69</f>
        <v>0</v>
      </c>
      <c r="AD69" s="159">
        <f>$R69*U69</f>
        <v>0</v>
      </c>
      <c r="AE69" s="159">
        <f>$R69*V69</f>
        <v>0</v>
      </c>
      <c r="AF69" s="159">
        <f>$R69*W69</f>
        <v>0</v>
      </c>
      <c r="AG69" s="159">
        <f>$R69*X69</f>
        <v>0</v>
      </c>
    </row>
    <row r="70" spans="1:253" s="332" customFormat="1">
      <c r="A70" s="317"/>
      <c r="B70" s="318" t="s">
        <v>14</v>
      </c>
      <c r="C70" s="319"/>
      <c r="D70" s="320"/>
      <c r="E70" s="321"/>
      <c r="F70" s="322">
        <f>SUM(F47:F69)</f>
        <v>299800</v>
      </c>
      <c r="G70" s="322"/>
      <c r="H70" s="322">
        <f>SUM(H47:H69)</f>
        <v>0</v>
      </c>
      <c r="I70" s="322"/>
      <c r="J70" s="322">
        <f>SUM(J47:J69)</f>
        <v>0</v>
      </c>
      <c r="K70" s="322">
        <f>SUM(K47:K69)</f>
        <v>0</v>
      </c>
      <c r="L70" s="322"/>
      <c r="M70" s="322">
        <f>SUM(M47:M69)</f>
        <v>0</v>
      </c>
      <c r="N70" s="321"/>
      <c r="O70" s="322">
        <f>SUM(O47:O69)</f>
        <v>0</v>
      </c>
      <c r="P70" s="324"/>
      <c r="Q70" s="322">
        <f t="shared" si="24"/>
        <v>299800</v>
      </c>
      <c r="R70" s="325">
        <f>SUM(R47:R69)</f>
        <v>4612.3076923076924</v>
      </c>
      <c r="S70" s="326"/>
      <c r="T70" s="326" t="s">
        <v>5</v>
      </c>
      <c r="U70" s="333"/>
      <c r="V70" s="333"/>
      <c r="W70" s="333"/>
      <c r="X70" s="333"/>
      <c r="Z70" s="330">
        <v>0.2</v>
      </c>
      <c r="AA70" s="330">
        <v>0.25</v>
      </c>
      <c r="AB70" s="336">
        <v>0.27500000000000002</v>
      </c>
      <c r="AC70" s="336">
        <v>0.27500000000000002</v>
      </c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  <c r="CN70" s="329"/>
      <c r="CO70" s="329"/>
      <c r="CP70" s="329"/>
      <c r="CQ70" s="329"/>
      <c r="CR70" s="329"/>
      <c r="CS70" s="329"/>
      <c r="CT70" s="329"/>
      <c r="CU70" s="329"/>
      <c r="CV70" s="329"/>
      <c r="CW70" s="329"/>
      <c r="CX70" s="329"/>
      <c r="CY70" s="329"/>
      <c r="CZ70" s="329"/>
      <c r="DA70" s="329"/>
      <c r="DB70" s="329"/>
      <c r="DC70" s="329"/>
      <c r="DD70" s="329"/>
      <c r="DE70" s="329"/>
      <c r="DF70" s="329"/>
      <c r="DG70" s="329"/>
      <c r="DH70" s="329"/>
      <c r="DI70" s="329"/>
      <c r="DJ70" s="329"/>
      <c r="DK70" s="329"/>
      <c r="DL70" s="329"/>
      <c r="DM70" s="329"/>
      <c r="DN70" s="329"/>
      <c r="DO70" s="329"/>
      <c r="DP70" s="329"/>
      <c r="DQ70" s="329"/>
      <c r="DR70" s="329"/>
      <c r="DS70" s="329"/>
      <c r="DT70" s="329"/>
      <c r="DU70" s="329"/>
      <c r="DV70" s="329"/>
      <c r="DW70" s="329"/>
      <c r="DX70" s="329"/>
      <c r="DY70" s="329"/>
      <c r="DZ70" s="329"/>
      <c r="EA70" s="329"/>
      <c r="EB70" s="329"/>
      <c r="EC70" s="329"/>
      <c r="ED70" s="329"/>
      <c r="EE70" s="329"/>
      <c r="EF70" s="329"/>
      <c r="EG70" s="329"/>
      <c r="EH70" s="329"/>
      <c r="EI70" s="329"/>
      <c r="EJ70" s="329"/>
      <c r="EK70" s="329"/>
      <c r="EL70" s="329"/>
      <c r="EM70" s="329"/>
      <c r="EN70" s="329"/>
      <c r="EO70" s="329"/>
      <c r="EP70" s="329"/>
      <c r="EQ70" s="329"/>
      <c r="ER70" s="329"/>
      <c r="ES70" s="329"/>
      <c r="ET70" s="329"/>
      <c r="EU70" s="329"/>
      <c r="EV70" s="329"/>
      <c r="EW70" s="329"/>
      <c r="EX70" s="329"/>
      <c r="EY70" s="329"/>
      <c r="EZ70" s="329"/>
      <c r="FA70" s="329"/>
      <c r="FB70" s="329"/>
      <c r="FC70" s="329"/>
      <c r="FD70" s="329"/>
      <c r="FE70" s="329"/>
      <c r="FF70" s="329"/>
      <c r="FG70" s="329"/>
      <c r="FH70" s="329"/>
      <c r="FI70" s="329"/>
      <c r="FJ70" s="329"/>
      <c r="FK70" s="329"/>
      <c r="FL70" s="329"/>
      <c r="FM70" s="329"/>
      <c r="FN70" s="329"/>
      <c r="FO70" s="329"/>
      <c r="FP70" s="329"/>
      <c r="FQ70" s="329"/>
      <c r="FR70" s="329"/>
      <c r="FS70" s="329"/>
      <c r="FT70" s="329"/>
      <c r="FU70" s="329"/>
      <c r="FV70" s="329"/>
      <c r="FW70" s="329"/>
      <c r="FX70" s="329"/>
      <c r="FY70" s="329"/>
      <c r="FZ70" s="329"/>
      <c r="GA70" s="329"/>
      <c r="GB70" s="329"/>
      <c r="GC70" s="329"/>
      <c r="GD70" s="329"/>
      <c r="GE70" s="329"/>
      <c r="GF70" s="329"/>
      <c r="GG70" s="329"/>
      <c r="GH70" s="329"/>
      <c r="GI70" s="329"/>
      <c r="GJ70" s="329"/>
      <c r="GK70" s="329"/>
      <c r="GL70" s="329"/>
      <c r="GM70" s="329"/>
      <c r="GN70" s="329"/>
      <c r="GO70" s="329"/>
      <c r="GP70" s="329"/>
      <c r="GQ70" s="329"/>
      <c r="GR70" s="329"/>
      <c r="GS70" s="329"/>
      <c r="GT70" s="329"/>
      <c r="GU70" s="329"/>
      <c r="GV70" s="329"/>
      <c r="GW70" s="329"/>
      <c r="GX70" s="329"/>
      <c r="GY70" s="329"/>
      <c r="GZ70" s="329"/>
      <c r="HA70" s="329"/>
      <c r="HB70" s="329"/>
      <c r="HC70" s="329"/>
      <c r="HD70" s="329"/>
      <c r="HE70" s="329"/>
      <c r="HF70" s="329"/>
      <c r="HG70" s="329"/>
      <c r="HH70" s="329"/>
      <c r="HI70" s="329"/>
      <c r="HJ70" s="329"/>
      <c r="HK70" s="329"/>
      <c r="HL70" s="329"/>
      <c r="HM70" s="329"/>
      <c r="HN70" s="329"/>
      <c r="HO70" s="329"/>
      <c r="HP70" s="329"/>
      <c r="HQ70" s="329"/>
      <c r="HR70" s="329"/>
      <c r="HS70" s="329"/>
      <c r="HT70" s="329"/>
      <c r="HU70" s="329"/>
      <c r="HV70" s="329"/>
      <c r="HW70" s="329"/>
      <c r="HX70" s="329"/>
      <c r="HY70" s="329"/>
      <c r="HZ70" s="329"/>
      <c r="IA70" s="329"/>
      <c r="IB70" s="329"/>
      <c r="IC70" s="329"/>
      <c r="ID70" s="329"/>
      <c r="IE70" s="329"/>
      <c r="IF70" s="329"/>
      <c r="IG70" s="329"/>
      <c r="IH70" s="329"/>
      <c r="II70" s="329"/>
      <c r="IJ70" s="329"/>
      <c r="IK70" s="329"/>
      <c r="IL70" s="329"/>
      <c r="IM70" s="329"/>
      <c r="IN70" s="329"/>
      <c r="IO70" s="329"/>
      <c r="IP70" s="329"/>
      <c r="IQ70" s="329"/>
      <c r="IR70" s="329"/>
      <c r="IS70" s="329"/>
    </row>
    <row r="71" spans="1:253">
      <c r="A71" s="195"/>
      <c r="B71" s="208"/>
      <c r="C71" s="144"/>
      <c r="D71" s="209"/>
      <c r="E71" s="210"/>
      <c r="F71" s="211"/>
      <c r="G71" s="211"/>
      <c r="H71" s="211"/>
      <c r="I71" s="211"/>
      <c r="J71" s="211"/>
      <c r="K71" s="212"/>
      <c r="L71" s="211"/>
      <c r="M71" s="211"/>
      <c r="N71" s="210"/>
      <c r="O71" s="211"/>
      <c r="P71" s="203"/>
      <c r="Q71" s="201"/>
      <c r="R71" s="284"/>
      <c r="S71" s="204"/>
      <c r="T71" s="204" t="s">
        <v>5</v>
      </c>
      <c r="V71" s="193"/>
      <c r="X71" s="214"/>
      <c r="Z71" s="224">
        <f>$R$70*Z70</f>
        <v>922.46153846153857</v>
      </c>
      <c r="AA71" s="224">
        <f>$R$70*AA70</f>
        <v>1153.0769230769231</v>
      </c>
      <c r="AB71" s="224">
        <f>$R$70*AB70</f>
        <v>1268.3846153846155</v>
      </c>
      <c r="AC71" s="224">
        <f>$R$70*AC70</f>
        <v>1268.3846153846155</v>
      </c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</row>
    <row r="72" spans="1:253">
      <c r="A72" s="195"/>
      <c r="B72" s="185" t="s">
        <v>366</v>
      </c>
      <c r="C72" s="145"/>
      <c r="D72" s="186"/>
      <c r="E72" s="225"/>
      <c r="F72" s="226"/>
      <c r="G72" s="226"/>
      <c r="H72" s="226"/>
      <c r="I72" s="226"/>
      <c r="J72" s="226"/>
      <c r="K72" s="227"/>
      <c r="L72" s="226"/>
      <c r="M72" s="226"/>
      <c r="N72" s="225"/>
      <c r="O72" s="226"/>
      <c r="P72" s="203"/>
      <c r="Q72" s="201"/>
      <c r="R72" s="284"/>
      <c r="S72" s="204"/>
      <c r="T72" s="204" t="s">
        <v>5</v>
      </c>
      <c r="X72" s="193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4"/>
      <c r="HV72" s="194"/>
      <c r="HW72" s="194"/>
      <c r="HX72" s="194"/>
      <c r="HY72" s="194"/>
      <c r="HZ72" s="194"/>
      <c r="IA72" s="194"/>
      <c r="IB72" s="194"/>
      <c r="IC72" s="194"/>
      <c r="ID72" s="194"/>
      <c r="IE72" s="194"/>
      <c r="IF72" s="194"/>
      <c r="IG72" s="194"/>
      <c r="IH72" s="194"/>
      <c r="II72" s="194"/>
      <c r="IJ72" s="194"/>
      <c r="IK72" s="194"/>
      <c r="IL72" s="194"/>
      <c r="IM72" s="194"/>
      <c r="IN72" s="194"/>
      <c r="IO72" s="194"/>
      <c r="IP72" s="194"/>
      <c r="IQ72" s="194"/>
      <c r="IR72" s="194"/>
      <c r="IS72" s="194"/>
    </row>
    <row r="73" spans="1:253" ht="15" customHeight="1">
      <c r="A73" s="195"/>
      <c r="B73" s="196" t="s">
        <v>15</v>
      </c>
      <c r="C73" s="143" t="s">
        <v>6</v>
      </c>
      <c r="D73" s="216">
        <v>300</v>
      </c>
      <c r="E73" s="202">
        <v>15</v>
      </c>
      <c r="F73" s="201">
        <f t="shared" ref="F73" si="31">ROUND(E73*D73,0)</f>
        <v>4500</v>
      </c>
      <c r="G73" s="201"/>
      <c r="H73" s="201">
        <f>ROUND(G73*D73*localinflation_yr2,0)</f>
        <v>0</v>
      </c>
      <c r="I73" s="201"/>
      <c r="J73" s="201">
        <f>ROUND(I73*D73*localinflation_yr3,0)</f>
        <v>0</v>
      </c>
      <c r="K73" s="200">
        <f t="shared" ref="K73" si="32">J73/$D$2</f>
        <v>0</v>
      </c>
      <c r="L73" s="201">
        <v>0</v>
      </c>
      <c r="M73" s="201">
        <f>ROUND(L73*D73*localinflation_yr4,0)</f>
        <v>0</v>
      </c>
      <c r="N73" s="202">
        <v>0</v>
      </c>
      <c r="O73" s="201">
        <f>ROUND(N73*D73*localinflation_yr5,0)</f>
        <v>0</v>
      </c>
      <c r="P73" s="203">
        <f>E73+G73+I73+L73+N73</f>
        <v>15</v>
      </c>
      <c r="Q73" s="201">
        <f>O73+M73+J73+H73+F73</f>
        <v>4500</v>
      </c>
      <c r="R73" s="284">
        <f>+Q73/DollarLC</f>
        <v>69.230769230769226</v>
      </c>
      <c r="S73" s="204">
        <f>+D73*E73</f>
        <v>4500</v>
      </c>
      <c r="T73" s="204">
        <f>+S73-F73</f>
        <v>0</v>
      </c>
      <c r="AD73" s="159">
        <f t="shared" ref="AD73:AG73" si="33">$R73*U73</f>
        <v>0</v>
      </c>
      <c r="AE73" s="159">
        <f t="shared" si="33"/>
        <v>0</v>
      </c>
      <c r="AF73" s="159">
        <f t="shared" si="33"/>
        <v>0</v>
      </c>
      <c r="AG73" s="159">
        <f t="shared" si="33"/>
        <v>0</v>
      </c>
    </row>
    <row r="74" spans="1:253" s="332" customFormat="1">
      <c r="A74" s="317"/>
      <c r="B74" s="318" t="s">
        <v>368</v>
      </c>
      <c r="C74" s="319"/>
      <c r="D74" s="320"/>
      <c r="E74" s="321"/>
      <c r="F74" s="322">
        <f>SUM(F73:F73)</f>
        <v>4500</v>
      </c>
      <c r="G74" s="322"/>
      <c r="H74" s="322">
        <f>SUM(H73:H73)</f>
        <v>0</v>
      </c>
      <c r="I74" s="322"/>
      <c r="J74" s="322">
        <f>SUM(J73:J73)</f>
        <v>0</v>
      </c>
      <c r="K74" s="322">
        <f>SUM(K73:K73)</f>
        <v>0</v>
      </c>
      <c r="L74" s="322"/>
      <c r="M74" s="323">
        <f>SUM(M73:M73)</f>
        <v>0</v>
      </c>
      <c r="N74" s="321"/>
      <c r="O74" s="322">
        <f>SUM(O73:O73)</f>
        <v>0</v>
      </c>
      <c r="P74" s="324"/>
      <c r="Q74" s="322">
        <f>O74+M74+J74+H74+F74</f>
        <v>4500</v>
      </c>
      <c r="R74" s="325">
        <f>SUM(R73:R73)</f>
        <v>69.230769230769226</v>
      </c>
      <c r="S74" s="326"/>
      <c r="T74" s="326" t="s">
        <v>5</v>
      </c>
      <c r="U74" s="333"/>
      <c r="V74" s="333"/>
      <c r="W74" s="333"/>
      <c r="X74" s="333"/>
    </row>
    <row r="75" spans="1:253">
      <c r="A75" s="195"/>
      <c r="B75" s="208"/>
      <c r="C75" s="144"/>
      <c r="D75" s="209"/>
      <c r="E75" s="210"/>
      <c r="F75" s="211"/>
      <c r="G75" s="211"/>
      <c r="H75" s="211"/>
      <c r="I75" s="211"/>
      <c r="J75" s="211"/>
      <c r="K75" s="211"/>
      <c r="L75" s="211"/>
      <c r="M75" s="211"/>
      <c r="N75" s="210"/>
      <c r="O75" s="211"/>
      <c r="P75" s="213"/>
      <c r="Q75" s="211"/>
      <c r="R75" s="249"/>
      <c r="S75" s="204"/>
      <c r="T75" s="204"/>
    </row>
    <row r="76" spans="1:253">
      <c r="A76" s="195"/>
      <c r="B76" s="196"/>
      <c r="C76" s="143"/>
      <c r="D76" s="216"/>
      <c r="E76" s="202"/>
      <c r="F76" s="201"/>
      <c r="G76" s="201"/>
      <c r="H76" s="201"/>
      <c r="I76" s="201"/>
      <c r="J76" s="201"/>
      <c r="K76" s="217"/>
      <c r="L76" s="201"/>
      <c r="M76" s="201"/>
      <c r="N76" s="202"/>
      <c r="O76" s="201"/>
      <c r="P76" s="203"/>
      <c r="Q76" s="201"/>
      <c r="R76" s="284"/>
      <c r="S76" s="204"/>
      <c r="T76" s="204" t="s">
        <v>5</v>
      </c>
    </row>
    <row r="77" spans="1:253">
      <c r="A77" s="195"/>
      <c r="B77" s="185" t="s">
        <v>367</v>
      </c>
      <c r="C77" s="145"/>
      <c r="D77" s="186"/>
      <c r="E77" s="225"/>
      <c r="F77" s="226"/>
      <c r="G77" s="226"/>
      <c r="H77" s="226"/>
      <c r="I77" s="226"/>
      <c r="J77" s="226"/>
      <c r="K77" s="227"/>
      <c r="L77" s="226"/>
      <c r="M77" s="226"/>
      <c r="N77" s="225"/>
      <c r="O77" s="226"/>
      <c r="P77" s="203"/>
      <c r="Q77" s="201"/>
      <c r="R77" s="284"/>
      <c r="S77" s="204"/>
      <c r="T77" s="204" t="s">
        <v>5</v>
      </c>
      <c r="X77" s="193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4"/>
      <c r="FS77" s="194"/>
      <c r="FT77" s="194"/>
      <c r="FU77" s="194"/>
      <c r="FV77" s="194"/>
      <c r="FW77" s="194"/>
      <c r="FX77" s="194"/>
      <c r="FY77" s="194"/>
      <c r="FZ77" s="194"/>
      <c r="GA77" s="194"/>
      <c r="GB77" s="194"/>
      <c r="GC77" s="194"/>
      <c r="GD77" s="194"/>
      <c r="GE77" s="194"/>
      <c r="GF77" s="194"/>
      <c r="GG77" s="194"/>
      <c r="GH77" s="194"/>
      <c r="GI77" s="194"/>
      <c r="GJ77" s="194"/>
      <c r="GK77" s="194"/>
      <c r="GL77" s="194"/>
      <c r="GM77" s="194"/>
      <c r="GN77" s="194"/>
      <c r="GO77" s="194"/>
      <c r="GP77" s="194"/>
      <c r="GQ77" s="194"/>
      <c r="GR77" s="194"/>
      <c r="GS77" s="194"/>
      <c r="GT77" s="194"/>
      <c r="GU77" s="194"/>
      <c r="GV77" s="194"/>
      <c r="GW77" s="194"/>
      <c r="GX77" s="194"/>
      <c r="GY77" s="194"/>
      <c r="GZ77" s="194"/>
      <c r="HA77" s="194"/>
      <c r="HB77" s="194"/>
      <c r="HC77" s="194"/>
      <c r="HD77" s="194"/>
      <c r="HE77" s="194"/>
      <c r="HF77" s="194"/>
      <c r="HG77" s="194"/>
      <c r="HH77" s="194"/>
      <c r="HI77" s="194"/>
      <c r="HJ77" s="194"/>
      <c r="HK77" s="194"/>
      <c r="HL77" s="194"/>
      <c r="HM77" s="194"/>
      <c r="HN77" s="194"/>
      <c r="HO77" s="194"/>
      <c r="HP77" s="194"/>
      <c r="HQ77" s="194"/>
      <c r="HR77" s="194"/>
      <c r="HS77" s="194"/>
      <c r="HT77" s="194"/>
      <c r="HU77" s="194"/>
      <c r="HV77" s="194"/>
      <c r="HW77" s="194"/>
      <c r="HX77" s="194"/>
      <c r="HY77" s="194"/>
      <c r="HZ77" s="194"/>
      <c r="IA77" s="194"/>
      <c r="IB77" s="194"/>
      <c r="IC77" s="194"/>
      <c r="ID77" s="194"/>
      <c r="IE77" s="194"/>
      <c r="IF77" s="194"/>
      <c r="IG77" s="194"/>
      <c r="IH77" s="194"/>
      <c r="II77" s="194"/>
      <c r="IJ77" s="194"/>
      <c r="IK77" s="194"/>
      <c r="IL77" s="194"/>
      <c r="IM77" s="194"/>
      <c r="IN77" s="194"/>
      <c r="IO77" s="194"/>
      <c r="IP77" s="194"/>
      <c r="IQ77" s="194"/>
      <c r="IR77" s="194"/>
      <c r="IS77" s="194"/>
    </row>
    <row r="78" spans="1:253" ht="15" customHeight="1">
      <c r="A78" s="195"/>
      <c r="B78" s="196" t="s">
        <v>383</v>
      </c>
      <c r="C78" s="143" t="s">
        <v>16</v>
      </c>
      <c r="D78" s="216">
        <v>0</v>
      </c>
      <c r="E78" s="202"/>
      <c r="F78" s="201">
        <f t="shared" ref="F78:F79" si="34">ROUND(E78*D78,0)</f>
        <v>0</v>
      </c>
      <c r="G78" s="201"/>
      <c r="H78" s="201">
        <f>ROUND(G78*D78*usinflation_yr2,0)</f>
        <v>0</v>
      </c>
      <c r="I78" s="201"/>
      <c r="J78" s="201">
        <f>ROUND(I78*D78*usinflation_yr3,0)</f>
        <v>0</v>
      </c>
      <c r="K78" s="200">
        <f t="shared" ref="K78:K79" si="35">J78/$D$2</f>
        <v>0</v>
      </c>
      <c r="L78" s="201">
        <v>0</v>
      </c>
      <c r="M78" s="201">
        <f>ROUND(L78*D78*usinflation_yr4,0)</f>
        <v>0</v>
      </c>
      <c r="N78" s="202">
        <v>0</v>
      </c>
      <c r="O78" s="201">
        <f>ROUND(N78*D78*usinflation_yr5,0)</f>
        <v>0</v>
      </c>
      <c r="P78" s="203">
        <f>E78+G78+I78+L78+N78</f>
        <v>0</v>
      </c>
      <c r="Q78" s="201">
        <f>O78+M78+J78+H78+F78</f>
        <v>0</v>
      </c>
      <c r="R78" s="284">
        <f>+Q78/DollarLC</f>
        <v>0</v>
      </c>
      <c r="S78" s="204">
        <f>+D78*E78</f>
        <v>0</v>
      </c>
      <c r="T78" s="204">
        <f>+S78-F78</f>
        <v>0</v>
      </c>
      <c r="V78" s="160">
        <v>1</v>
      </c>
      <c r="Z78" s="205">
        <v>0.4</v>
      </c>
      <c r="AA78" s="205">
        <v>0.6</v>
      </c>
      <c r="AD78" s="159">
        <f>$R78*U78</f>
        <v>0</v>
      </c>
      <c r="AE78" s="159">
        <f>$R78*V78</f>
        <v>0</v>
      </c>
      <c r="AF78" s="159">
        <f>$R78*W78</f>
        <v>0</v>
      </c>
      <c r="AG78" s="159">
        <f>$R78*X78</f>
        <v>0</v>
      </c>
    </row>
    <row r="79" spans="1:253" ht="15" customHeight="1">
      <c r="A79" s="195"/>
      <c r="B79" s="196" t="s">
        <v>178</v>
      </c>
      <c r="C79" s="143" t="s">
        <v>16</v>
      </c>
      <c r="D79" s="216">
        <v>1500</v>
      </c>
      <c r="E79" s="202">
        <v>10</v>
      </c>
      <c r="F79" s="201">
        <f t="shared" si="34"/>
        <v>15000</v>
      </c>
      <c r="G79" s="201">
        <v>0</v>
      </c>
      <c r="H79" s="201">
        <f>ROUND(G79*D79*usinflation_yr2,0)</f>
        <v>0</v>
      </c>
      <c r="I79" s="201"/>
      <c r="J79" s="201">
        <f>ROUND(I79*D79*usinflation_yr3,0)</f>
        <v>0</v>
      </c>
      <c r="K79" s="200">
        <f t="shared" si="35"/>
        <v>0</v>
      </c>
      <c r="L79" s="201">
        <v>0</v>
      </c>
      <c r="M79" s="201">
        <f>ROUND(L79*D79*usinflation_yr4,0)</f>
        <v>0</v>
      </c>
      <c r="N79" s="202">
        <v>0</v>
      </c>
      <c r="O79" s="201">
        <f>ROUND(N79*D79*usinflation_yr5,0)</f>
        <v>0</v>
      </c>
      <c r="P79" s="203">
        <f>E79+G79+I79+L79+N79</f>
        <v>10</v>
      </c>
      <c r="Q79" s="201">
        <f>O79+M79+J79+H79+F79</f>
        <v>15000</v>
      </c>
      <c r="R79" s="284">
        <f>+Q79/DollarLC</f>
        <v>230.76923076923077</v>
      </c>
      <c r="S79" s="204">
        <f>+D79*E79</f>
        <v>15000</v>
      </c>
      <c r="T79" s="204">
        <f>+S79-F79</f>
        <v>0</v>
      </c>
    </row>
    <row r="80" spans="1:253" s="332" customFormat="1">
      <c r="A80" s="317"/>
      <c r="B80" s="318" t="s">
        <v>75</v>
      </c>
      <c r="C80" s="319"/>
      <c r="D80" s="320"/>
      <c r="E80" s="321"/>
      <c r="F80" s="322">
        <f>SUM(F78:F79)</f>
        <v>15000</v>
      </c>
      <c r="G80" s="322"/>
      <c r="H80" s="322">
        <f>SUM(H78:H79)</f>
        <v>0</v>
      </c>
      <c r="I80" s="322"/>
      <c r="J80" s="322">
        <f>SUM(J78:J79)</f>
        <v>0</v>
      </c>
      <c r="K80" s="322">
        <f>SUM(K78:K79)</f>
        <v>0</v>
      </c>
      <c r="L80" s="322"/>
      <c r="M80" s="322">
        <f>SUM(M78:M79)</f>
        <v>0</v>
      </c>
      <c r="N80" s="321"/>
      <c r="O80" s="322">
        <f>SUM(O78:O79)</f>
        <v>0</v>
      </c>
      <c r="P80" s="324"/>
      <c r="Q80" s="322">
        <f>O80+M80+J80+H80+F80</f>
        <v>15000</v>
      </c>
      <c r="R80" s="325">
        <f>+Q80/DollarLC</f>
        <v>230.76923076923077</v>
      </c>
      <c r="S80" s="326"/>
      <c r="T80" s="326" t="s">
        <v>5</v>
      </c>
      <c r="U80" s="333"/>
      <c r="V80" s="333"/>
      <c r="W80" s="333"/>
      <c r="X80" s="328"/>
      <c r="Z80" s="334" t="e">
        <f>#REF!*#REF!+R78*Z78</f>
        <v>#REF!</v>
      </c>
      <c r="AA80" s="334">
        <f>AA78*R78</f>
        <v>0</v>
      </c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29"/>
      <c r="CF80" s="329"/>
      <c r="CG80" s="329"/>
      <c r="CH80" s="329"/>
      <c r="CI80" s="329"/>
      <c r="CJ80" s="329"/>
      <c r="CK80" s="329"/>
      <c r="CL80" s="329"/>
      <c r="CM80" s="329"/>
      <c r="CN80" s="329"/>
      <c r="CO80" s="329"/>
      <c r="CP80" s="329"/>
      <c r="CQ80" s="329"/>
      <c r="CR80" s="329"/>
      <c r="CS80" s="329"/>
      <c r="CT80" s="329"/>
      <c r="CU80" s="329"/>
      <c r="CV80" s="329"/>
      <c r="CW80" s="329"/>
      <c r="CX80" s="329"/>
      <c r="CY80" s="329"/>
      <c r="CZ80" s="329"/>
      <c r="DA80" s="329"/>
      <c r="DB80" s="329"/>
      <c r="DC80" s="329"/>
      <c r="DD80" s="329"/>
      <c r="DE80" s="329"/>
      <c r="DF80" s="329"/>
      <c r="DG80" s="329"/>
      <c r="DH80" s="329"/>
      <c r="DI80" s="329"/>
      <c r="DJ80" s="329"/>
      <c r="DK80" s="329"/>
      <c r="DL80" s="329"/>
      <c r="DM80" s="329"/>
      <c r="DN80" s="329"/>
      <c r="DO80" s="329"/>
      <c r="DP80" s="329"/>
      <c r="DQ80" s="329"/>
      <c r="DR80" s="329"/>
      <c r="DS80" s="329"/>
      <c r="DT80" s="329"/>
      <c r="DU80" s="329"/>
      <c r="DV80" s="329"/>
      <c r="DW80" s="329"/>
      <c r="DX80" s="329"/>
      <c r="DY80" s="329"/>
      <c r="DZ80" s="329"/>
      <c r="EA80" s="329"/>
      <c r="EB80" s="329"/>
      <c r="EC80" s="329"/>
      <c r="ED80" s="329"/>
      <c r="EE80" s="329"/>
      <c r="EF80" s="329"/>
      <c r="EG80" s="329"/>
      <c r="EH80" s="329"/>
      <c r="EI80" s="329"/>
      <c r="EJ80" s="329"/>
      <c r="EK80" s="329"/>
      <c r="EL80" s="329"/>
      <c r="EM80" s="329"/>
      <c r="EN80" s="329"/>
      <c r="EO80" s="329"/>
      <c r="EP80" s="329"/>
      <c r="EQ80" s="329"/>
      <c r="ER80" s="329"/>
      <c r="ES80" s="329"/>
      <c r="ET80" s="329"/>
      <c r="EU80" s="329"/>
      <c r="EV80" s="329"/>
      <c r="EW80" s="329"/>
      <c r="EX80" s="329"/>
      <c r="EY80" s="329"/>
      <c r="EZ80" s="329"/>
      <c r="FA80" s="329"/>
      <c r="FB80" s="329"/>
      <c r="FC80" s="329"/>
      <c r="FD80" s="329"/>
      <c r="FE80" s="329"/>
      <c r="FF80" s="329"/>
      <c r="FG80" s="329"/>
      <c r="FH80" s="329"/>
      <c r="FI80" s="329"/>
      <c r="FJ80" s="329"/>
      <c r="FK80" s="329"/>
      <c r="FL80" s="329"/>
      <c r="FM80" s="329"/>
      <c r="FN80" s="329"/>
      <c r="FO80" s="329"/>
      <c r="FP80" s="329"/>
      <c r="FQ80" s="329"/>
      <c r="FR80" s="329"/>
      <c r="FS80" s="329"/>
      <c r="FT80" s="329"/>
      <c r="FU80" s="329"/>
      <c r="FV80" s="329"/>
      <c r="FW80" s="329"/>
      <c r="FX80" s="329"/>
      <c r="FY80" s="329"/>
      <c r="FZ80" s="329"/>
      <c r="GA80" s="329"/>
      <c r="GB80" s="329"/>
      <c r="GC80" s="329"/>
      <c r="GD80" s="329"/>
      <c r="GE80" s="329"/>
      <c r="GF80" s="329"/>
      <c r="GG80" s="329"/>
      <c r="GH80" s="329"/>
      <c r="GI80" s="329"/>
      <c r="GJ80" s="329"/>
      <c r="GK80" s="329"/>
      <c r="GL80" s="329"/>
      <c r="GM80" s="329"/>
      <c r="GN80" s="329"/>
      <c r="GO80" s="329"/>
      <c r="GP80" s="329"/>
      <c r="GQ80" s="329"/>
      <c r="GR80" s="329"/>
      <c r="GS80" s="329"/>
      <c r="GT80" s="329"/>
      <c r="GU80" s="329"/>
      <c r="GV80" s="329"/>
      <c r="GW80" s="329"/>
      <c r="GX80" s="329"/>
      <c r="GY80" s="329"/>
      <c r="GZ80" s="329"/>
      <c r="HA80" s="329"/>
      <c r="HB80" s="329"/>
      <c r="HC80" s="329"/>
      <c r="HD80" s="329"/>
      <c r="HE80" s="329"/>
      <c r="HF80" s="329"/>
      <c r="HG80" s="329"/>
      <c r="HH80" s="329"/>
      <c r="HI80" s="329"/>
      <c r="HJ80" s="329"/>
      <c r="HK80" s="329"/>
      <c r="HL80" s="329"/>
      <c r="HM80" s="329"/>
      <c r="HN80" s="329"/>
      <c r="HO80" s="329"/>
      <c r="HP80" s="329"/>
      <c r="HQ80" s="329"/>
      <c r="HR80" s="329"/>
      <c r="HS80" s="329"/>
      <c r="HT80" s="329"/>
      <c r="HU80" s="329"/>
      <c r="HV80" s="329"/>
      <c r="HW80" s="329"/>
      <c r="HX80" s="329"/>
      <c r="HY80" s="329"/>
      <c r="HZ80" s="329"/>
      <c r="IA80" s="329"/>
      <c r="IB80" s="329"/>
      <c r="IC80" s="329"/>
      <c r="ID80" s="329"/>
      <c r="IE80" s="329"/>
      <c r="IF80" s="329"/>
      <c r="IG80" s="329"/>
      <c r="IH80" s="329"/>
      <c r="II80" s="329"/>
      <c r="IJ80" s="329"/>
      <c r="IK80" s="329"/>
      <c r="IL80" s="329"/>
      <c r="IM80" s="329"/>
      <c r="IN80" s="329"/>
      <c r="IO80" s="329"/>
      <c r="IP80" s="329"/>
      <c r="IQ80" s="329"/>
      <c r="IR80" s="329"/>
      <c r="IS80" s="329"/>
    </row>
    <row r="81" spans="1:253">
      <c r="A81" s="195"/>
      <c r="B81" s="208"/>
      <c r="C81" s="144"/>
      <c r="D81" s="209"/>
      <c r="E81" s="210"/>
      <c r="F81" s="211"/>
      <c r="G81" s="211"/>
      <c r="H81" s="211"/>
      <c r="I81" s="211"/>
      <c r="J81" s="211"/>
      <c r="K81" s="212"/>
      <c r="L81" s="211"/>
      <c r="M81" s="211"/>
      <c r="N81" s="210"/>
      <c r="O81" s="211"/>
      <c r="P81" s="203"/>
      <c r="Q81" s="201"/>
      <c r="R81" s="284" t="s">
        <v>5</v>
      </c>
      <c r="S81" s="204"/>
      <c r="T81" s="204" t="s">
        <v>5</v>
      </c>
      <c r="X81" s="214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  <c r="GT81" s="215"/>
      <c r="GU81" s="215"/>
      <c r="GV81" s="215"/>
      <c r="GW81" s="215"/>
      <c r="GX81" s="215"/>
      <c r="GY81" s="215"/>
      <c r="GZ81" s="215"/>
      <c r="HA81" s="215"/>
      <c r="HB81" s="215"/>
      <c r="HC81" s="215"/>
      <c r="HD81" s="215"/>
      <c r="HE81" s="215"/>
      <c r="HF81" s="215"/>
      <c r="HG81" s="215"/>
      <c r="HH81" s="215"/>
      <c r="HI81" s="215"/>
      <c r="HJ81" s="215"/>
      <c r="HK81" s="215"/>
      <c r="HL81" s="215"/>
      <c r="HM81" s="215"/>
      <c r="HN81" s="215"/>
      <c r="HO81" s="215"/>
      <c r="HP81" s="215"/>
      <c r="HQ81" s="215"/>
      <c r="HR81" s="215"/>
      <c r="HS81" s="215"/>
      <c r="HT81" s="215"/>
      <c r="HU81" s="215"/>
      <c r="HV81" s="215"/>
      <c r="HW81" s="215"/>
      <c r="HX81" s="215"/>
      <c r="HY81" s="215"/>
      <c r="HZ81" s="215"/>
      <c r="IA81" s="215"/>
      <c r="IB81" s="215"/>
      <c r="IC81" s="215"/>
      <c r="ID81" s="215"/>
      <c r="IE81" s="215"/>
      <c r="IF81" s="215"/>
      <c r="IG81" s="215"/>
      <c r="IH81" s="215"/>
      <c r="II81" s="215"/>
      <c r="IJ81" s="215"/>
      <c r="IK81" s="215"/>
      <c r="IL81" s="215"/>
      <c r="IM81" s="215"/>
      <c r="IN81" s="215"/>
      <c r="IO81" s="215"/>
      <c r="IP81" s="215"/>
      <c r="IQ81" s="215"/>
      <c r="IR81" s="215"/>
      <c r="IS81" s="215"/>
    </row>
    <row r="82" spans="1:253">
      <c r="A82" s="195"/>
      <c r="B82" s="208"/>
      <c r="C82" s="144"/>
      <c r="D82" s="209"/>
      <c r="E82" s="210"/>
      <c r="F82" s="211"/>
      <c r="G82" s="211"/>
      <c r="H82" s="211"/>
      <c r="I82" s="211"/>
      <c r="J82" s="211"/>
      <c r="K82" s="212"/>
      <c r="L82" s="211"/>
      <c r="M82" s="211"/>
      <c r="N82" s="210"/>
      <c r="O82" s="211"/>
      <c r="P82" s="203"/>
      <c r="Q82" s="201"/>
      <c r="R82" s="284"/>
      <c r="S82" s="204"/>
      <c r="T82" s="204">
        <f t="shared" ref="T82:T88" si="36">+S82-F82</f>
        <v>0</v>
      </c>
      <c r="V82" s="193"/>
      <c r="X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215"/>
      <c r="FH82" s="215"/>
      <c r="FI82" s="215"/>
      <c r="FJ82" s="215"/>
      <c r="FK82" s="215"/>
      <c r="FL82" s="215"/>
      <c r="FM82" s="215"/>
      <c r="FN82" s="215"/>
      <c r="FO82" s="215"/>
      <c r="FP82" s="215"/>
      <c r="FQ82" s="215"/>
      <c r="FR82" s="215"/>
      <c r="FS82" s="215"/>
      <c r="FT82" s="215"/>
      <c r="FU82" s="215"/>
      <c r="FV82" s="215"/>
      <c r="FW82" s="215"/>
      <c r="FX82" s="215"/>
      <c r="FY82" s="215"/>
      <c r="FZ82" s="215"/>
      <c r="GA82" s="215"/>
      <c r="GB82" s="215"/>
      <c r="GC82" s="215"/>
      <c r="GD82" s="215"/>
      <c r="GE82" s="215"/>
      <c r="GF82" s="215"/>
      <c r="GG82" s="215"/>
      <c r="GH82" s="215"/>
      <c r="GI82" s="215"/>
      <c r="GJ82" s="215"/>
      <c r="GK82" s="215"/>
      <c r="GL82" s="215"/>
      <c r="GM82" s="215"/>
      <c r="GN82" s="215"/>
      <c r="GO82" s="215"/>
      <c r="GP82" s="215"/>
      <c r="GQ82" s="215"/>
      <c r="GR82" s="215"/>
      <c r="GS82" s="215"/>
      <c r="GT82" s="215"/>
      <c r="GU82" s="215"/>
      <c r="GV82" s="215"/>
      <c r="GW82" s="215"/>
      <c r="GX82" s="215"/>
      <c r="GY82" s="215"/>
      <c r="GZ82" s="215"/>
      <c r="HA82" s="215"/>
      <c r="HB82" s="215"/>
      <c r="HC82" s="215"/>
      <c r="HD82" s="215"/>
      <c r="HE82" s="215"/>
      <c r="HF82" s="215"/>
      <c r="HG82" s="215"/>
      <c r="HH82" s="215"/>
      <c r="HI82" s="215"/>
      <c r="HJ82" s="215"/>
      <c r="HK82" s="215"/>
      <c r="HL82" s="215"/>
      <c r="HM82" s="215"/>
      <c r="HN82" s="215"/>
      <c r="HO82" s="215"/>
      <c r="HP82" s="215"/>
      <c r="HQ82" s="215"/>
      <c r="HR82" s="215"/>
      <c r="HS82" s="215"/>
      <c r="HT82" s="215"/>
      <c r="HU82" s="215"/>
      <c r="HV82" s="215"/>
      <c r="HW82" s="215"/>
      <c r="HX82" s="215"/>
      <c r="HY82" s="215"/>
      <c r="HZ82" s="215"/>
      <c r="IA82" s="215"/>
      <c r="IB82" s="215"/>
      <c r="IC82" s="215"/>
      <c r="ID82" s="215"/>
      <c r="IE82" s="215"/>
      <c r="IF82" s="215"/>
      <c r="IG82" s="215"/>
      <c r="IH82" s="215"/>
      <c r="II82" s="215"/>
      <c r="IJ82" s="215"/>
      <c r="IK82" s="215"/>
      <c r="IL82" s="215"/>
      <c r="IM82" s="215"/>
      <c r="IN82" s="215"/>
      <c r="IO82" s="215"/>
      <c r="IP82" s="215"/>
      <c r="IQ82" s="215"/>
      <c r="IR82" s="215"/>
      <c r="IS82" s="215"/>
    </row>
    <row r="83" spans="1:253">
      <c r="A83" s="195"/>
      <c r="B83" s="185" t="s">
        <v>136</v>
      </c>
      <c r="C83" s="143"/>
      <c r="D83" s="216"/>
      <c r="E83" s="202"/>
      <c r="F83" s="201"/>
      <c r="G83" s="201"/>
      <c r="H83" s="201"/>
      <c r="I83" s="201"/>
      <c r="J83" s="201"/>
      <c r="K83" s="217"/>
      <c r="L83" s="201"/>
      <c r="M83" s="201"/>
      <c r="N83" s="202"/>
      <c r="O83" s="201"/>
      <c r="P83" s="203"/>
      <c r="Q83" s="201"/>
      <c r="R83" s="284"/>
      <c r="S83" s="204"/>
      <c r="T83" s="204">
        <f t="shared" si="36"/>
        <v>0</v>
      </c>
    </row>
    <row r="84" spans="1:253">
      <c r="A84" s="195"/>
      <c r="B84" s="196" t="s">
        <v>71</v>
      </c>
      <c r="C84" s="143" t="s">
        <v>72</v>
      </c>
      <c r="D84" s="216">
        <v>0</v>
      </c>
      <c r="E84" s="202"/>
      <c r="F84" s="201">
        <f>ROUND(E84*D84,0)</f>
        <v>0</v>
      </c>
      <c r="G84" s="201"/>
      <c r="H84" s="201">
        <f>ROUND(G84*D84*usinflation_yr2,0)</f>
        <v>0</v>
      </c>
      <c r="I84" s="201"/>
      <c r="J84" s="201">
        <f>ROUND(I84*D84*usinflation_yr3,0)</f>
        <v>0</v>
      </c>
      <c r="K84" s="200">
        <f t="shared" ref="K84" si="37">J84/$D$2</f>
        <v>0</v>
      </c>
      <c r="L84" s="201">
        <v>0</v>
      </c>
      <c r="M84" s="201">
        <f>ROUND(L84*D84*usinflation_yr4,0)</f>
        <v>0</v>
      </c>
      <c r="N84" s="202">
        <v>0</v>
      </c>
      <c r="O84" s="201">
        <f>ROUND(N84*D84*usinflation_yr5,0)</f>
        <v>0</v>
      </c>
      <c r="P84" s="203">
        <f>E84+G84+I84+L84+N84</f>
        <v>0</v>
      </c>
      <c r="Q84" s="201">
        <f>O84+M84+J84+H84+F84</f>
        <v>0</v>
      </c>
      <c r="R84" s="284">
        <f t="shared" ref="R84" si="38">+Q84/DollarLC</f>
        <v>0</v>
      </c>
      <c r="S84" s="204"/>
      <c r="T84" s="204">
        <f t="shared" si="36"/>
        <v>0</v>
      </c>
    </row>
    <row r="85" spans="1:253" s="332" customFormat="1">
      <c r="A85" s="317"/>
      <c r="B85" s="318" t="s">
        <v>23</v>
      </c>
      <c r="C85" s="319"/>
      <c r="D85" s="320"/>
      <c r="E85" s="321"/>
      <c r="F85" s="322">
        <f>SUM(F84:F84)</f>
        <v>0</v>
      </c>
      <c r="G85" s="322"/>
      <c r="H85" s="322">
        <f>SUM(H84:H84)</f>
        <v>0</v>
      </c>
      <c r="I85" s="322"/>
      <c r="J85" s="322">
        <f>SUM(J84:J84)</f>
        <v>0</v>
      </c>
      <c r="K85" s="322">
        <f>SUM(K84:K84)</f>
        <v>0</v>
      </c>
      <c r="L85" s="322"/>
      <c r="M85" s="322">
        <f>SUM(M84:M84)</f>
        <v>0</v>
      </c>
      <c r="N85" s="321"/>
      <c r="O85" s="322">
        <f>SUM(O84:O84)</f>
        <v>0</v>
      </c>
      <c r="P85" s="324"/>
      <c r="Q85" s="322">
        <f>O85+M85+J85+H85+F85</f>
        <v>0</v>
      </c>
      <c r="R85" s="325"/>
      <c r="S85" s="326"/>
      <c r="T85" s="326">
        <f t="shared" si="36"/>
        <v>0</v>
      </c>
      <c r="U85" s="333"/>
      <c r="V85" s="327"/>
      <c r="W85" s="333"/>
      <c r="X85" s="328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29"/>
      <c r="BX85" s="329"/>
      <c r="BY85" s="329"/>
      <c r="BZ85" s="329"/>
      <c r="CA85" s="329"/>
      <c r="CB85" s="329"/>
      <c r="CC85" s="329"/>
      <c r="CD85" s="329"/>
      <c r="CE85" s="329"/>
      <c r="CF85" s="329"/>
      <c r="CG85" s="329"/>
      <c r="CH85" s="329"/>
      <c r="CI85" s="329"/>
      <c r="CJ85" s="329"/>
      <c r="CK85" s="329"/>
      <c r="CL85" s="329"/>
      <c r="CM85" s="329"/>
      <c r="CN85" s="329"/>
      <c r="CO85" s="329"/>
      <c r="CP85" s="329"/>
      <c r="CQ85" s="329"/>
      <c r="CR85" s="329"/>
      <c r="CS85" s="329"/>
      <c r="CT85" s="329"/>
      <c r="CU85" s="329"/>
      <c r="CV85" s="329"/>
      <c r="CW85" s="329"/>
      <c r="CX85" s="329"/>
      <c r="CY85" s="329"/>
      <c r="CZ85" s="329"/>
      <c r="DA85" s="329"/>
      <c r="DB85" s="329"/>
      <c r="DC85" s="329"/>
      <c r="DD85" s="329"/>
      <c r="DE85" s="329"/>
      <c r="DF85" s="329"/>
      <c r="DG85" s="329"/>
      <c r="DH85" s="329"/>
      <c r="DI85" s="329"/>
      <c r="DJ85" s="329"/>
      <c r="DK85" s="329"/>
      <c r="DL85" s="329"/>
      <c r="DM85" s="329"/>
      <c r="DN85" s="329"/>
      <c r="DO85" s="329"/>
      <c r="DP85" s="329"/>
      <c r="DQ85" s="329"/>
      <c r="DR85" s="329"/>
      <c r="DS85" s="329"/>
      <c r="DT85" s="329"/>
      <c r="DU85" s="329"/>
      <c r="DV85" s="329"/>
      <c r="DW85" s="329"/>
      <c r="DX85" s="329"/>
      <c r="DY85" s="329"/>
      <c r="DZ85" s="329"/>
      <c r="EA85" s="329"/>
      <c r="EB85" s="329"/>
      <c r="EC85" s="329"/>
      <c r="ED85" s="329"/>
      <c r="EE85" s="329"/>
      <c r="EF85" s="329"/>
      <c r="EG85" s="329"/>
      <c r="EH85" s="329"/>
      <c r="EI85" s="329"/>
      <c r="EJ85" s="329"/>
      <c r="EK85" s="329"/>
      <c r="EL85" s="329"/>
      <c r="EM85" s="329"/>
      <c r="EN85" s="329"/>
      <c r="EO85" s="329"/>
      <c r="EP85" s="329"/>
      <c r="EQ85" s="329"/>
      <c r="ER85" s="329"/>
      <c r="ES85" s="329"/>
      <c r="ET85" s="329"/>
      <c r="EU85" s="329"/>
      <c r="EV85" s="329"/>
      <c r="EW85" s="329"/>
      <c r="EX85" s="329"/>
      <c r="EY85" s="329"/>
      <c r="EZ85" s="329"/>
      <c r="FA85" s="329"/>
      <c r="FB85" s="329"/>
      <c r="FC85" s="329"/>
      <c r="FD85" s="329"/>
      <c r="FE85" s="329"/>
      <c r="FF85" s="329"/>
      <c r="FG85" s="329"/>
      <c r="FH85" s="329"/>
      <c r="FI85" s="329"/>
      <c r="FJ85" s="329"/>
      <c r="FK85" s="329"/>
      <c r="FL85" s="329"/>
      <c r="FM85" s="329"/>
      <c r="FN85" s="329"/>
      <c r="FO85" s="329"/>
      <c r="FP85" s="329"/>
      <c r="FQ85" s="329"/>
      <c r="FR85" s="329"/>
      <c r="FS85" s="329"/>
      <c r="FT85" s="329"/>
      <c r="FU85" s="329"/>
      <c r="FV85" s="329"/>
      <c r="FW85" s="329"/>
      <c r="FX85" s="329"/>
      <c r="FY85" s="329"/>
      <c r="FZ85" s="329"/>
      <c r="GA85" s="329"/>
      <c r="GB85" s="329"/>
      <c r="GC85" s="329"/>
      <c r="GD85" s="329"/>
      <c r="GE85" s="329"/>
      <c r="GF85" s="329"/>
      <c r="GG85" s="329"/>
      <c r="GH85" s="329"/>
      <c r="GI85" s="329"/>
      <c r="GJ85" s="329"/>
      <c r="GK85" s="329"/>
      <c r="GL85" s="329"/>
      <c r="GM85" s="329"/>
      <c r="GN85" s="329"/>
      <c r="GO85" s="329"/>
      <c r="GP85" s="329"/>
      <c r="GQ85" s="329"/>
      <c r="GR85" s="329"/>
      <c r="GS85" s="329"/>
      <c r="GT85" s="329"/>
      <c r="GU85" s="329"/>
      <c r="GV85" s="329"/>
      <c r="GW85" s="329"/>
      <c r="GX85" s="329"/>
      <c r="GY85" s="329"/>
      <c r="GZ85" s="329"/>
      <c r="HA85" s="329"/>
      <c r="HB85" s="329"/>
      <c r="HC85" s="329"/>
      <c r="HD85" s="329"/>
      <c r="HE85" s="329"/>
      <c r="HF85" s="329"/>
      <c r="HG85" s="329"/>
      <c r="HH85" s="329"/>
      <c r="HI85" s="329"/>
      <c r="HJ85" s="329"/>
      <c r="HK85" s="329"/>
      <c r="HL85" s="329"/>
      <c r="HM85" s="329"/>
      <c r="HN85" s="329"/>
      <c r="HO85" s="329"/>
      <c r="HP85" s="329"/>
      <c r="HQ85" s="329"/>
      <c r="HR85" s="329"/>
      <c r="HS85" s="329"/>
      <c r="HT85" s="329"/>
      <c r="HU85" s="329"/>
      <c r="HV85" s="329"/>
      <c r="HW85" s="329"/>
      <c r="HX85" s="329"/>
      <c r="HY85" s="329"/>
      <c r="HZ85" s="329"/>
      <c r="IA85" s="329"/>
      <c r="IB85" s="329"/>
      <c r="IC85" s="329"/>
      <c r="ID85" s="329"/>
      <c r="IE85" s="329"/>
      <c r="IF85" s="329"/>
      <c r="IG85" s="329"/>
      <c r="IH85" s="329"/>
      <c r="II85" s="329"/>
      <c r="IJ85" s="329"/>
      <c r="IK85" s="329"/>
      <c r="IL85" s="329"/>
      <c r="IM85" s="329"/>
      <c r="IN85" s="329"/>
      <c r="IO85" s="329"/>
      <c r="IP85" s="329"/>
      <c r="IQ85" s="329"/>
      <c r="IR85" s="329"/>
      <c r="IS85" s="329"/>
    </row>
    <row r="86" spans="1:253">
      <c r="A86" s="195"/>
      <c r="B86" s="208"/>
      <c r="C86" s="144"/>
      <c r="D86" s="209"/>
      <c r="E86" s="210"/>
      <c r="F86" s="211"/>
      <c r="G86" s="211"/>
      <c r="H86" s="211"/>
      <c r="I86" s="211"/>
      <c r="J86" s="211"/>
      <c r="K86" s="212"/>
      <c r="L86" s="211"/>
      <c r="M86" s="211"/>
      <c r="N86" s="210"/>
      <c r="O86" s="211"/>
      <c r="P86" s="203"/>
      <c r="Q86" s="201"/>
      <c r="R86" s="284"/>
      <c r="S86" s="204"/>
      <c r="T86" s="204">
        <f t="shared" si="36"/>
        <v>0</v>
      </c>
      <c r="V86" s="193"/>
      <c r="X86" s="214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J86" s="215"/>
      <c r="FK86" s="215"/>
      <c r="FL86" s="215"/>
      <c r="FM86" s="215"/>
      <c r="FN86" s="215"/>
      <c r="FO86" s="215"/>
      <c r="FP86" s="215"/>
      <c r="FQ86" s="215"/>
      <c r="FR86" s="215"/>
      <c r="FS86" s="215"/>
      <c r="FT86" s="215"/>
      <c r="FU86" s="215"/>
      <c r="FV86" s="215"/>
      <c r="FW86" s="215"/>
      <c r="FX86" s="215"/>
      <c r="FY86" s="215"/>
      <c r="FZ86" s="215"/>
      <c r="GA86" s="215"/>
      <c r="GB86" s="215"/>
      <c r="GC86" s="215"/>
      <c r="GD86" s="215"/>
      <c r="GE86" s="215"/>
      <c r="GF86" s="215"/>
      <c r="GG86" s="215"/>
      <c r="GH86" s="215"/>
      <c r="GI86" s="215"/>
      <c r="GJ86" s="215"/>
      <c r="GK86" s="215"/>
      <c r="GL86" s="215"/>
      <c r="GM86" s="215"/>
      <c r="GN86" s="215"/>
      <c r="GO86" s="215"/>
      <c r="GP86" s="215"/>
      <c r="GQ86" s="215"/>
      <c r="GR86" s="215"/>
      <c r="GS86" s="215"/>
      <c r="GT86" s="215"/>
      <c r="GU86" s="215"/>
      <c r="GV86" s="215"/>
      <c r="GW86" s="215"/>
      <c r="GX86" s="215"/>
      <c r="GY86" s="215"/>
      <c r="GZ86" s="215"/>
      <c r="HA86" s="215"/>
      <c r="HB86" s="215"/>
      <c r="HC86" s="215"/>
      <c r="HD86" s="215"/>
      <c r="HE86" s="215"/>
      <c r="HF86" s="215"/>
      <c r="HG86" s="215"/>
      <c r="HH86" s="215"/>
      <c r="HI86" s="215"/>
      <c r="HJ86" s="215"/>
      <c r="HK86" s="215"/>
      <c r="HL86" s="215"/>
      <c r="HM86" s="215"/>
      <c r="HN86" s="215"/>
      <c r="HO86" s="215"/>
      <c r="HP86" s="215"/>
      <c r="HQ86" s="215"/>
      <c r="HR86" s="215"/>
      <c r="HS86" s="215"/>
      <c r="HT86" s="215"/>
      <c r="HU86" s="215"/>
      <c r="HV86" s="215"/>
      <c r="HW86" s="215"/>
      <c r="HX86" s="215"/>
      <c r="HY86" s="215"/>
      <c r="HZ86" s="215"/>
      <c r="IA86" s="215"/>
      <c r="IB86" s="215"/>
      <c r="IC86" s="215"/>
      <c r="ID86" s="215"/>
      <c r="IE86" s="215"/>
      <c r="IF86" s="215"/>
      <c r="IG86" s="215"/>
      <c r="IH86" s="215"/>
      <c r="II86" s="215"/>
      <c r="IJ86" s="215"/>
      <c r="IK86" s="215"/>
      <c r="IL86" s="215"/>
      <c r="IM86" s="215"/>
      <c r="IN86" s="215"/>
      <c r="IO86" s="215"/>
      <c r="IP86" s="215"/>
      <c r="IQ86" s="215"/>
      <c r="IR86" s="215"/>
      <c r="IS86" s="215"/>
    </row>
    <row r="87" spans="1:253">
      <c r="A87" s="195"/>
      <c r="B87" s="185" t="s">
        <v>161</v>
      </c>
      <c r="C87" s="145"/>
      <c r="D87" s="186"/>
      <c r="E87" s="225"/>
      <c r="F87" s="226"/>
      <c r="G87" s="226"/>
      <c r="H87" s="226"/>
      <c r="I87" s="226"/>
      <c r="J87" s="226"/>
      <c r="K87" s="227"/>
      <c r="L87" s="226"/>
      <c r="M87" s="226"/>
      <c r="N87" s="225"/>
      <c r="O87" s="226"/>
      <c r="P87" s="203"/>
      <c r="Q87" s="201"/>
      <c r="R87" s="284"/>
      <c r="S87" s="204"/>
      <c r="T87" s="204">
        <f t="shared" si="36"/>
        <v>0</v>
      </c>
      <c r="V87" s="193"/>
      <c r="X87" s="193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  <c r="GZ87" s="194"/>
      <c r="HA87" s="194"/>
      <c r="HB87" s="194"/>
      <c r="HC87" s="194"/>
      <c r="HD87" s="194"/>
      <c r="HE87" s="194"/>
      <c r="HF87" s="194"/>
      <c r="HG87" s="194"/>
      <c r="HH87" s="194"/>
      <c r="HI87" s="194"/>
      <c r="HJ87" s="194"/>
      <c r="HK87" s="194"/>
      <c r="HL87" s="194"/>
      <c r="HM87" s="194"/>
      <c r="HN87" s="194"/>
      <c r="HO87" s="194"/>
      <c r="HP87" s="194"/>
      <c r="HQ87" s="194"/>
      <c r="HR87" s="194"/>
      <c r="HS87" s="194"/>
      <c r="HT87" s="194"/>
      <c r="HU87" s="194"/>
      <c r="HV87" s="194"/>
      <c r="HW87" s="194"/>
      <c r="HX87" s="194"/>
      <c r="HY87" s="194"/>
      <c r="HZ87" s="194"/>
      <c r="IA87" s="194"/>
      <c r="IB87" s="194"/>
      <c r="IC87" s="194"/>
      <c r="ID87" s="194"/>
      <c r="IE87" s="194"/>
      <c r="IF87" s="194"/>
      <c r="IG87" s="194"/>
      <c r="IH87" s="194"/>
      <c r="II87" s="194"/>
      <c r="IJ87" s="194"/>
      <c r="IK87" s="194"/>
      <c r="IL87" s="194"/>
      <c r="IM87" s="194"/>
      <c r="IN87" s="194"/>
      <c r="IO87" s="194"/>
      <c r="IP87" s="194"/>
      <c r="IQ87" s="194"/>
      <c r="IR87" s="194"/>
      <c r="IS87" s="194"/>
    </row>
    <row r="88" spans="1:253">
      <c r="A88" s="195"/>
      <c r="B88" s="185" t="s">
        <v>343</v>
      </c>
      <c r="C88" s="143"/>
      <c r="D88" s="216"/>
      <c r="E88" s="202"/>
      <c r="F88" s="201"/>
      <c r="G88" s="201"/>
      <c r="H88" s="201"/>
      <c r="I88" s="201"/>
      <c r="J88" s="201"/>
      <c r="K88" s="217"/>
      <c r="L88" s="201"/>
      <c r="M88" s="201"/>
      <c r="N88" s="202"/>
      <c r="O88" s="201"/>
      <c r="P88" s="203"/>
      <c r="Q88" s="201"/>
      <c r="R88" s="284"/>
      <c r="S88" s="204"/>
      <c r="T88" s="204">
        <f t="shared" si="36"/>
        <v>0</v>
      </c>
    </row>
    <row r="89" spans="1:253">
      <c r="A89" s="195"/>
      <c r="B89" s="196" t="s">
        <v>137</v>
      </c>
      <c r="C89" s="143" t="s">
        <v>179</v>
      </c>
      <c r="D89" s="216">
        <f>Assumptions!D94</f>
        <v>420</v>
      </c>
      <c r="E89" s="202">
        <f>Assumptions!B80*H4</f>
        <v>240</v>
      </c>
      <c r="F89" s="201">
        <f>ROUND(E89*D89,0)</f>
        <v>100800</v>
      </c>
      <c r="G89" s="202">
        <f>Assumptions!B80*P4</f>
        <v>0</v>
      </c>
      <c r="H89" s="201">
        <f t="shared" ref="H89:H120" si="39">ROUND(G89*D89*usinflation_yr2,0)</f>
        <v>0</v>
      </c>
      <c r="I89" s="201"/>
      <c r="J89" s="201">
        <f t="shared" ref="J89:J120" si="40">ROUND(I89*D89*usinflation_yr3,0)</f>
        <v>0</v>
      </c>
      <c r="K89" s="200">
        <f t="shared" ref="K89:K115" si="41">J89/$D$2</f>
        <v>0</v>
      </c>
      <c r="L89" s="201">
        <v>0</v>
      </c>
      <c r="M89" s="201">
        <f t="shared" ref="M89:M120" si="42">ROUND(L89*D89*usinflation_yr4,0)</f>
        <v>0</v>
      </c>
      <c r="N89" s="202">
        <v>0</v>
      </c>
      <c r="O89" s="201">
        <f t="shared" ref="O89:O120" si="43">ROUND(N89*D89*usinflation_yr5,0)</f>
        <v>0</v>
      </c>
      <c r="P89" s="203">
        <f t="shared" ref="P89:P120" si="44">E89+G89+I89+L89+N89</f>
        <v>240</v>
      </c>
      <c r="Q89" s="201">
        <f t="shared" ref="Q89:Q120" si="45">O89+M89+J89+H89+F89</f>
        <v>100800</v>
      </c>
      <c r="R89" s="284">
        <f>+Q89/DollarLC</f>
        <v>1550.7692307692307</v>
      </c>
      <c r="S89" s="204"/>
      <c r="T89" s="204"/>
    </row>
    <row r="90" spans="1:253">
      <c r="A90" s="195"/>
      <c r="B90" s="196" t="s">
        <v>138</v>
      </c>
      <c r="C90" s="143" t="s">
        <v>179</v>
      </c>
      <c r="D90" s="216">
        <v>150</v>
      </c>
      <c r="E90" s="202"/>
      <c r="F90" s="201">
        <f t="shared" ref="F90:F102" si="46">ROUND(E90*D90,0)</f>
        <v>0</v>
      </c>
      <c r="G90" s="201">
        <v>0</v>
      </c>
      <c r="H90" s="201">
        <f t="shared" si="39"/>
        <v>0</v>
      </c>
      <c r="I90" s="201"/>
      <c r="J90" s="201">
        <f t="shared" si="40"/>
        <v>0</v>
      </c>
      <c r="K90" s="200">
        <f t="shared" ref="K90:K102" si="47">J90/$D$2</f>
        <v>0</v>
      </c>
      <c r="L90" s="201">
        <v>0</v>
      </c>
      <c r="M90" s="201">
        <f t="shared" si="42"/>
        <v>0</v>
      </c>
      <c r="N90" s="202">
        <v>0</v>
      </c>
      <c r="O90" s="201">
        <f t="shared" si="43"/>
        <v>0</v>
      </c>
      <c r="P90" s="203">
        <f t="shared" si="44"/>
        <v>0</v>
      </c>
      <c r="Q90" s="201">
        <f t="shared" si="45"/>
        <v>0</v>
      </c>
      <c r="R90" s="284">
        <f t="shared" ref="R90:R102" si="48">+Q90/DollarLC</f>
        <v>0</v>
      </c>
      <c r="S90" s="204"/>
      <c r="T90" s="204"/>
    </row>
    <row r="91" spans="1:253">
      <c r="A91" s="195"/>
      <c r="B91" s="196" t="s">
        <v>139</v>
      </c>
      <c r="C91" s="143" t="s">
        <v>180</v>
      </c>
      <c r="D91" s="236">
        <v>3</v>
      </c>
      <c r="E91" s="202">
        <f>Assumptions!D80*H4</f>
        <v>18000</v>
      </c>
      <c r="F91" s="201">
        <f t="shared" si="46"/>
        <v>54000</v>
      </c>
      <c r="G91" s="202">
        <f>Assumptions!D80*P4</f>
        <v>0</v>
      </c>
      <c r="H91" s="201">
        <f t="shared" si="39"/>
        <v>0</v>
      </c>
      <c r="I91" s="201"/>
      <c r="J91" s="201">
        <f t="shared" si="40"/>
        <v>0</v>
      </c>
      <c r="K91" s="200">
        <f t="shared" si="47"/>
        <v>0</v>
      </c>
      <c r="L91" s="201">
        <v>0</v>
      </c>
      <c r="M91" s="201">
        <f t="shared" si="42"/>
        <v>0</v>
      </c>
      <c r="N91" s="202">
        <v>0</v>
      </c>
      <c r="O91" s="201">
        <f t="shared" si="43"/>
        <v>0</v>
      </c>
      <c r="P91" s="203">
        <f t="shared" si="44"/>
        <v>18000</v>
      </c>
      <c r="Q91" s="201">
        <f t="shared" si="45"/>
        <v>54000</v>
      </c>
      <c r="R91" s="284">
        <f t="shared" si="48"/>
        <v>830.76923076923072</v>
      </c>
      <c r="S91" s="204"/>
      <c r="T91" s="204"/>
    </row>
    <row r="92" spans="1:253">
      <c r="A92" s="195"/>
      <c r="B92" s="196" t="s">
        <v>140</v>
      </c>
      <c r="C92" s="143" t="s">
        <v>179</v>
      </c>
      <c r="D92" s="216">
        <v>250</v>
      </c>
      <c r="E92" s="202"/>
      <c r="F92" s="201">
        <f t="shared" si="46"/>
        <v>0</v>
      </c>
      <c r="G92" s="201">
        <v>0</v>
      </c>
      <c r="H92" s="201">
        <f t="shared" si="39"/>
        <v>0</v>
      </c>
      <c r="I92" s="201"/>
      <c r="J92" s="201">
        <f t="shared" si="40"/>
        <v>0</v>
      </c>
      <c r="K92" s="200">
        <f t="shared" si="47"/>
        <v>0</v>
      </c>
      <c r="L92" s="201">
        <v>0</v>
      </c>
      <c r="M92" s="201">
        <f t="shared" si="42"/>
        <v>0</v>
      </c>
      <c r="N92" s="202">
        <v>0</v>
      </c>
      <c r="O92" s="201">
        <f t="shared" si="43"/>
        <v>0</v>
      </c>
      <c r="P92" s="203">
        <f t="shared" si="44"/>
        <v>0</v>
      </c>
      <c r="Q92" s="201">
        <f t="shared" si="45"/>
        <v>0</v>
      </c>
      <c r="R92" s="284">
        <f t="shared" si="48"/>
        <v>0</v>
      </c>
      <c r="S92" s="204"/>
      <c r="T92" s="204"/>
    </row>
    <row r="93" spans="1:253">
      <c r="A93" s="195"/>
      <c r="B93" s="196" t="s">
        <v>141</v>
      </c>
      <c r="C93" s="143" t="s">
        <v>179</v>
      </c>
      <c r="D93" s="216">
        <f>Assumptions!D95</f>
        <v>525</v>
      </c>
      <c r="E93" s="202">
        <f>Assumptions!B81*H4</f>
        <v>60</v>
      </c>
      <c r="F93" s="201">
        <f t="shared" si="46"/>
        <v>31500</v>
      </c>
      <c r="G93" s="202">
        <f>Assumptions!B81*P4</f>
        <v>0</v>
      </c>
      <c r="H93" s="201">
        <f t="shared" si="39"/>
        <v>0</v>
      </c>
      <c r="I93" s="201"/>
      <c r="J93" s="201">
        <f t="shared" si="40"/>
        <v>0</v>
      </c>
      <c r="K93" s="200">
        <f t="shared" si="47"/>
        <v>0</v>
      </c>
      <c r="L93" s="201">
        <v>0</v>
      </c>
      <c r="M93" s="201">
        <f t="shared" si="42"/>
        <v>0</v>
      </c>
      <c r="N93" s="202">
        <v>0</v>
      </c>
      <c r="O93" s="201">
        <f t="shared" si="43"/>
        <v>0</v>
      </c>
      <c r="P93" s="203">
        <f t="shared" si="44"/>
        <v>60</v>
      </c>
      <c r="Q93" s="201">
        <f t="shared" si="45"/>
        <v>31500</v>
      </c>
      <c r="R93" s="284">
        <f t="shared" si="48"/>
        <v>484.61538461538464</v>
      </c>
      <c r="S93" s="204"/>
      <c r="T93" s="204"/>
    </row>
    <row r="94" spans="1:253">
      <c r="A94" s="195"/>
      <c r="B94" s="196" t="s">
        <v>142</v>
      </c>
      <c r="C94" s="143" t="s">
        <v>179</v>
      </c>
      <c r="D94" s="216">
        <v>150</v>
      </c>
      <c r="E94" s="202"/>
      <c r="F94" s="201">
        <f t="shared" si="46"/>
        <v>0</v>
      </c>
      <c r="G94" s="201">
        <v>0</v>
      </c>
      <c r="H94" s="201">
        <f t="shared" si="39"/>
        <v>0</v>
      </c>
      <c r="I94" s="201"/>
      <c r="J94" s="201">
        <f t="shared" si="40"/>
        <v>0</v>
      </c>
      <c r="K94" s="200">
        <f t="shared" si="47"/>
        <v>0</v>
      </c>
      <c r="L94" s="201">
        <v>0</v>
      </c>
      <c r="M94" s="201">
        <f t="shared" si="42"/>
        <v>0</v>
      </c>
      <c r="N94" s="202">
        <v>0</v>
      </c>
      <c r="O94" s="201">
        <f t="shared" si="43"/>
        <v>0</v>
      </c>
      <c r="P94" s="203">
        <f t="shared" si="44"/>
        <v>0</v>
      </c>
      <c r="Q94" s="201">
        <f t="shared" si="45"/>
        <v>0</v>
      </c>
      <c r="R94" s="284">
        <f t="shared" si="48"/>
        <v>0</v>
      </c>
      <c r="S94" s="204"/>
      <c r="T94" s="204"/>
    </row>
    <row r="95" spans="1:253">
      <c r="A95" s="195"/>
      <c r="B95" s="196" t="s">
        <v>143</v>
      </c>
      <c r="C95" s="143" t="s">
        <v>180</v>
      </c>
      <c r="D95" s="236">
        <v>3</v>
      </c>
      <c r="E95" s="202">
        <f>Assumptions!D81*H4</f>
        <v>4500</v>
      </c>
      <c r="F95" s="201">
        <f t="shared" si="46"/>
        <v>13500</v>
      </c>
      <c r="G95" s="202">
        <f>Assumptions!D81*P4</f>
        <v>0</v>
      </c>
      <c r="H95" s="201">
        <f t="shared" si="39"/>
        <v>0</v>
      </c>
      <c r="I95" s="201"/>
      <c r="J95" s="201">
        <f t="shared" si="40"/>
        <v>0</v>
      </c>
      <c r="K95" s="200">
        <f t="shared" si="47"/>
        <v>0</v>
      </c>
      <c r="L95" s="201">
        <v>0</v>
      </c>
      <c r="M95" s="201">
        <f t="shared" si="42"/>
        <v>0</v>
      </c>
      <c r="N95" s="202">
        <v>0</v>
      </c>
      <c r="O95" s="201">
        <f t="shared" si="43"/>
        <v>0</v>
      </c>
      <c r="P95" s="203">
        <f t="shared" si="44"/>
        <v>4500</v>
      </c>
      <c r="Q95" s="201">
        <f t="shared" si="45"/>
        <v>13500</v>
      </c>
      <c r="R95" s="284">
        <f t="shared" si="48"/>
        <v>207.69230769230768</v>
      </c>
      <c r="S95" s="204"/>
      <c r="T95" s="204"/>
    </row>
    <row r="96" spans="1:253">
      <c r="A96" s="195"/>
      <c r="B96" s="196" t="s">
        <v>144</v>
      </c>
      <c r="C96" s="143" t="s">
        <v>179</v>
      </c>
      <c r="D96" s="216">
        <v>250</v>
      </c>
      <c r="E96" s="202"/>
      <c r="F96" s="201">
        <f t="shared" si="46"/>
        <v>0</v>
      </c>
      <c r="G96" s="201">
        <v>0</v>
      </c>
      <c r="H96" s="201">
        <f t="shared" si="39"/>
        <v>0</v>
      </c>
      <c r="I96" s="201"/>
      <c r="J96" s="201">
        <f t="shared" si="40"/>
        <v>0</v>
      </c>
      <c r="K96" s="200">
        <f t="shared" si="47"/>
        <v>0</v>
      </c>
      <c r="L96" s="201">
        <v>0</v>
      </c>
      <c r="M96" s="201">
        <f t="shared" si="42"/>
        <v>0</v>
      </c>
      <c r="N96" s="202">
        <v>0</v>
      </c>
      <c r="O96" s="201">
        <f t="shared" si="43"/>
        <v>0</v>
      </c>
      <c r="P96" s="203">
        <f t="shared" si="44"/>
        <v>0</v>
      </c>
      <c r="Q96" s="201">
        <f t="shared" si="45"/>
        <v>0</v>
      </c>
      <c r="R96" s="284">
        <f t="shared" si="48"/>
        <v>0</v>
      </c>
      <c r="S96" s="204"/>
      <c r="T96" s="204"/>
    </row>
    <row r="97" spans="1:20">
      <c r="A97" s="195"/>
      <c r="B97" s="196" t="s">
        <v>181</v>
      </c>
      <c r="C97" s="143" t="s">
        <v>179</v>
      </c>
      <c r="D97" s="216">
        <v>525</v>
      </c>
      <c r="E97" s="202"/>
      <c r="F97" s="201">
        <f t="shared" si="46"/>
        <v>0</v>
      </c>
      <c r="G97" s="201">
        <v>0</v>
      </c>
      <c r="H97" s="201">
        <f t="shared" si="39"/>
        <v>0</v>
      </c>
      <c r="I97" s="201"/>
      <c r="J97" s="201">
        <f t="shared" si="40"/>
        <v>0</v>
      </c>
      <c r="K97" s="200">
        <f t="shared" si="47"/>
        <v>0</v>
      </c>
      <c r="L97" s="201">
        <v>0</v>
      </c>
      <c r="M97" s="201">
        <f t="shared" si="42"/>
        <v>0</v>
      </c>
      <c r="N97" s="202">
        <v>0</v>
      </c>
      <c r="O97" s="201">
        <f t="shared" si="43"/>
        <v>0</v>
      </c>
      <c r="P97" s="203">
        <f t="shared" si="44"/>
        <v>0</v>
      </c>
      <c r="Q97" s="201">
        <f t="shared" si="45"/>
        <v>0</v>
      </c>
      <c r="R97" s="284">
        <f t="shared" si="48"/>
        <v>0</v>
      </c>
      <c r="S97" s="204"/>
      <c r="T97" s="204"/>
    </row>
    <row r="98" spans="1:20">
      <c r="A98" s="195"/>
      <c r="B98" s="196" t="s">
        <v>182</v>
      </c>
      <c r="C98" s="143" t="s">
        <v>179</v>
      </c>
      <c r="D98" s="216">
        <v>150</v>
      </c>
      <c r="E98" s="202"/>
      <c r="F98" s="201">
        <f t="shared" si="46"/>
        <v>0</v>
      </c>
      <c r="G98" s="201">
        <v>0</v>
      </c>
      <c r="H98" s="201">
        <f t="shared" si="39"/>
        <v>0</v>
      </c>
      <c r="I98" s="201"/>
      <c r="J98" s="201">
        <f t="shared" si="40"/>
        <v>0</v>
      </c>
      <c r="K98" s="200">
        <f t="shared" si="47"/>
        <v>0</v>
      </c>
      <c r="L98" s="201">
        <v>0</v>
      </c>
      <c r="M98" s="201">
        <f t="shared" si="42"/>
        <v>0</v>
      </c>
      <c r="N98" s="202">
        <v>0</v>
      </c>
      <c r="O98" s="201">
        <f t="shared" si="43"/>
        <v>0</v>
      </c>
      <c r="P98" s="203">
        <f t="shared" si="44"/>
        <v>0</v>
      </c>
      <c r="Q98" s="201">
        <f t="shared" si="45"/>
        <v>0</v>
      </c>
      <c r="R98" s="284">
        <f t="shared" si="48"/>
        <v>0</v>
      </c>
      <c r="S98" s="204"/>
      <c r="T98" s="204"/>
    </row>
    <row r="99" spans="1:20">
      <c r="A99" s="195"/>
      <c r="B99" s="196" t="s">
        <v>183</v>
      </c>
      <c r="C99" s="143" t="s">
        <v>180</v>
      </c>
      <c r="D99" s="236">
        <v>3</v>
      </c>
      <c r="E99" s="202"/>
      <c r="F99" s="201">
        <f t="shared" si="46"/>
        <v>0</v>
      </c>
      <c r="G99" s="201">
        <v>0</v>
      </c>
      <c r="H99" s="201">
        <f t="shared" si="39"/>
        <v>0</v>
      </c>
      <c r="I99" s="201"/>
      <c r="J99" s="201">
        <f t="shared" si="40"/>
        <v>0</v>
      </c>
      <c r="K99" s="200">
        <f t="shared" si="47"/>
        <v>0</v>
      </c>
      <c r="L99" s="201">
        <v>0</v>
      </c>
      <c r="M99" s="201">
        <f t="shared" si="42"/>
        <v>0</v>
      </c>
      <c r="N99" s="202">
        <v>0</v>
      </c>
      <c r="O99" s="201">
        <f t="shared" si="43"/>
        <v>0</v>
      </c>
      <c r="P99" s="203">
        <f t="shared" si="44"/>
        <v>0</v>
      </c>
      <c r="Q99" s="201">
        <f t="shared" si="45"/>
        <v>0</v>
      </c>
      <c r="R99" s="284">
        <f t="shared" si="48"/>
        <v>0</v>
      </c>
      <c r="S99" s="204"/>
      <c r="T99" s="204"/>
    </row>
    <row r="100" spans="1:20">
      <c r="A100" s="195"/>
      <c r="B100" s="196" t="s">
        <v>184</v>
      </c>
      <c r="C100" s="143" t="s">
        <v>179</v>
      </c>
      <c r="D100" s="216">
        <v>250</v>
      </c>
      <c r="E100" s="202"/>
      <c r="F100" s="201">
        <f t="shared" si="46"/>
        <v>0</v>
      </c>
      <c r="G100" s="201">
        <v>0</v>
      </c>
      <c r="H100" s="201">
        <f t="shared" si="39"/>
        <v>0</v>
      </c>
      <c r="I100" s="201"/>
      <c r="J100" s="201">
        <f t="shared" si="40"/>
        <v>0</v>
      </c>
      <c r="K100" s="200">
        <f t="shared" si="47"/>
        <v>0</v>
      </c>
      <c r="L100" s="201">
        <v>0</v>
      </c>
      <c r="M100" s="201">
        <f t="shared" si="42"/>
        <v>0</v>
      </c>
      <c r="N100" s="202">
        <v>0</v>
      </c>
      <c r="O100" s="201">
        <f t="shared" si="43"/>
        <v>0</v>
      </c>
      <c r="P100" s="203">
        <f t="shared" si="44"/>
        <v>0</v>
      </c>
      <c r="Q100" s="201">
        <f t="shared" si="45"/>
        <v>0</v>
      </c>
      <c r="R100" s="284">
        <f t="shared" si="48"/>
        <v>0</v>
      </c>
      <c r="S100" s="204"/>
      <c r="T100" s="204"/>
    </row>
    <row r="101" spans="1:20">
      <c r="A101" s="195"/>
      <c r="B101" s="196" t="s">
        <v>185</v>
      </c>
      <c r="C101" s="143" t="s">
        <v>179</v>
      </c>
      <c r="D101" s="216">
        <v>525</v>
      </c>
      <c r="E101" s="202"/>
      <c r="F101" s="201">
        <f t="shared" si="46"/>
        <v>0</v>
      </c>
      <c r="G101" s="201">
        <v>0</v>
      </c>
      <c r="H101" s="201">
        <f t="shared" si="39"/>
        <v>0</v>
      </c>
      <c r="I101" s="201"/>
      <c r="J101" s="201">
        <f t="shared" si="40"/>
        <v>0</v>
      </c>
      <c r="K101" s="200">
        <f t="shared" si="47"/>
        <v>0</v>
      </c>
      <c r="L101" s="201">
        <v>0</v>
      </c>
      <c r="M101" s="201">
        <f t="shared" si="42"/>
        <v>0</v>
      </c>
      <c r="N101" s="202">
        <v>0</v>
      </c>
      <c r="O101" s="201">
        <f t="shared" si="43"/>
        <v>0</v>
      </c>
      <c r="P101" s="203">
        <f t="shared" si="44"/>
        <v>0</v>
      </c>
      <c r="Q101" s="201">
        <f t="shared" si="45"/>
        <v>0</v>
      </c>
      <c r="R101" s="284">
        <f t="shared" si="48"/>
        <v>0</v>
      </c>
      <c r="S101" s="204"/>
      <c r="T101" s="204"/>
    </row>
    <row r="102" spans="1:20">
      <c r="A102" s="195"/>
      <c r="B102" s="196" t="s">
        <v>186</v>
      </c>
      <c r="C102" s="143" t="s">
        <v>179</v>
      </c>
      <c r="D102" s="216">
        <v>150</v>
      </c>
      <c r="E102" s="202"/>
      <c r="F102" s="201">
        <f t="shared" si="46"/>
        <v>0</v>
      </c>
      <c r="G102" s="201">
        <v>0</v>
      </c>
      <c r="H102" s="201">
        <f t="shared" si="39"/>
        <v>0</v>
      </c>
      <c r="I102" s="201"/>
      <c r="J102" s="201">
        <f t="shared" si="40"/>
        <v>0</v>
      </c>
      <c r="K102" s="200">
        <f t="shared" si="47"/>
        <v>0</v>
      </c>
      <c r="L102" s="201">
        <v>0</v>
      </c>
      <c r="M102" s="201">
        <f t="shared" si="42"/>
        <v>0</v>
      </c>
      <c r="N102" s="202">
        <v>0</v>
      </c>
      <c r="O102" s="201">
        <f t="shared" si="43"/>
        <v>0</v>
      </c>
      <c r="P102" s="203">
        <f t="shared" si="44"/>
        <v>0</v>
      </c>
      <c r="Q102" s="201">
        <f t="shared" si="45"/>
        <v>0</v>
      </c>
      <c r="R102" s="284">
        <f t="shared" si="48"/>
        <v>0</v>
      </c>
      <c r="S102" s="204"/>
      <c r="T102" s="204"/>
    </row>
    <row r="103" spans="1:20">
      <c r="A103" s="195"/>
      <c r="B103" s="185" t="s">
        <v>344</v>
      </c>
      <c r="C103" s="143"/>
      <c r="D103" s="216"/>
      <c r="E103" s="202"/>
      <c r="F103" s="201">
        <f t="shared" ref="F103:F119" si="49">ROUND(E103*D103,0)</f>
        <v>0</v>
      </c>
      <c r="G103" s="201">
        <v>0</v>
      </c>
      <c r="H103" s="201">
        <f t="shared" si="39"/>
        <v>0</v>
      </c>
      <c r="I103" s="201"/>
      <c r="J103" s="201">
        <f t="shared" si="40"/>
        <v>0</v>
      </c>
      <c r="K103" s="200">
        <f t="shared" si="41"/>
        <v>0</v>
      </c>
      <c r="L103" s="201">
        <v>0</v>
      </c>
      <c r="M103" s="201">
        <f t="shared" si="42"/>
        <v>0</v>
      </c>
      <c r="N103" s="202">
        <v>0</v>
      </c>
      <c r="O103" s="201">
        <f t="shared" si="43"/>
        <v>0</v>
      </c>
      <c r="P103" s="203">
        <f t="shared" si="44"/>
        <v>0</v>
      </c>
      <c r="Q103" s="201">
        <f t="shared" si="45"/>
        <v>0</v>
      </c>
      <c r="R103" s="284">
        <f t="shared" ref="R103:R118" si="50">+Q103/DollarLC</f>
        <v>0</v>
      </c>
      <c r="S103" s="204"/>
      <c r="T103" s="204"/>
    </row>
    <row r="104" spans="1:20">
      <c r="A104" s="195"/>
      <c r="B104" s="196" t="s">
        <v>137</v>
      </c>
      <c r="C104" s="143" t="s">
        <v>179</v>
      </c>
      <c r="D104" s="216">
        <f>Assumptions!D94</f>
        <v>420</v>
      </c>
      <c r="E104" s="202">
        <f>Assumptions!B84*H4</f>
        <v>62.5</v>
      </c>
      <c r="F104" s="201">
        <f t="shared" si="49"/>
        <v>26250</v>
      </c>
      <c r="G104" s="202">
        <f>Assumptions!B84*P4</f>
        <v>0</v>
      </c>
      <c r="H104" s="201">
        <f t="shared" si="39"/>
        <v>0</v>
      </c>
      <c r="I104" s="201"/>
      <c r="J104" s="201">
        <f t="shared" si="40"/>
        <v>0</v>
      </c>
      <c r="K104" s="200">
        <f t="shared" si="41"/>
        <v>0</v>
      </c>
      <c r="L104" s="201">
        <v>0</v>
      </c>
      <c r="M104" s="201">
        <f t="shared" si="42"/>
        <v>0</v>
      </c>
      <c r="N104" s="202">
        <v>0</v>
      </c>
      <c r="O104" s="201">
        <f t="shared" si="43"/>
        <v>0</v>
      </c>
      <c r="P104" s="203">
        <f t="shared" si="44"/>
        <v>62.5</v>
      </c>
      <c r="Q104" s="201">
        <f t="shared" si="45"/>
        <v>26250</v>
      </c>
      <c r="R104" s="284">
        <f t="shared" si="50"/>
        <v>403.84615384615387</v>
      </c>
      <c r="S104" s="204"/>
      <c r="T104" s="204"/>
    </row>
    <row r="105" spans="1:20">
      <c r="A105" s="195"/>
      <c r="B105" s="196" t="s">
        <v>138</v>
      </c>
      <c r="C105" s="143" t="s">
        <v>179</v>
      </c>
      <c r="D105" s="216">
        <v>150</v>
      </c>
      <c r="E105" s="202"/>
      <c r="F105" s="201">
        <f t="shared" si="49"/>
        <v>0</v>
      </c>
      <c r="G105" s="201">
        <v>0</v>
      </c>
      <c r="H105" s="201">
        <f t="shared" si="39"/>
        <v>0</v>
      </c>
      <c r="I105" s="201"/>
      <c r="J105" s="201">
        <f t="shared" si="40"/>
        <v>0</v>
      </c>
      <c r="K105" s="200">
        <f t="shared" si="41"/>
        <v>0</v>
      </c>
      <c r="L105" s="201">
        <v>0</v>
      </c>
      <c r="M105" s="201">
        <f t="shared" si="42"/>
        <v>0</v>
      </c>
      <c r="N105" s="202">
        <v>0</v>
      </c>
      <c r="O105" s="201">
        <f t="shared" si="43"/>
        <v>0</v>
      </c>
      <c r="P105" s="203">
        <f t="shared" si="44"/>
        <v>0</v>
      </c>
      <c r="Q105" s="201">
        <f t="shared" si="45"/>
        <v>0</v>
      </c>
      <c r="R105" s="284">
        <f t="shared" si="50"/>
        <v>0</v>
      </c>
      <c r="S105" s="204"/>
      <c r="T105" s="204"/>
    </row>
    <row r="106" spans="1:20">
      <c r="A106" s="195"/>
      <c r="B106" s="196" t="s">
        <v>139</v>
      </c>
      <c r="C106" s="143" t="s">
        <v>180</v>
      </c>
      <c r="D106" s="236">
        <v>3</v>
      </c>
      <c r="E106" s="202">
        <f>Assumptions!D84*H4</f>
        <v>625</v>
      </c>
      <c r="F106" s="201">
        <f t="shared" si="49"/>
        <v>1875</v>
      </c>
      <c r="G106" s="202">
        <f>Assumptions!D84*P4</f>
        <v>0</v>
      </c>
      <c r="H106" s="201">
        <f t="shared" si="39"/>
        <v>0</v>
      </c>
      <c r="I106" s="201"/>
      <c r="J106" s="201">
        <f t="shared" si="40"/>
        <v>0</v>
      </c>
      <c r="K106" s="200">
        <f t="shared" si="41"/>
        <v>0</v>
      </c>
      <c r="L106" s="201">
        <v>0</v>
      </c>
      <c r="M106" s="201">
        <f t="shared" si="42"/>
        <v>0</v>
      </c>
      <c r="N106" s="202">
        <v>0</v>
      </c>
      <c r="O106" s="201">
        <f t="shared" si="43"/>
        <v>0</v>
      </c>
      <c r="P106" s="203">
        <f t="shared" si="44"/>
        <v>625</v>
      </c>
      <c r="Q106" s="201">
        <f t="shared" si="45"/>
        <v>1875</v>
      </c>
      <c r="R106" s="284">
        <f t="shared" si="50"/>
        <v>28.846153846153847</v>
      </c>
      <c r="S106" s="204"/>
      <c r="T106" s="204"/>
    </row>
    <row r="107" spans="1:20">
      <c r="A107" s="195"/>
      <c r="B107" s="196" t="s">
        <v>140</v>
      </c>
      <c r="C107" s="143" t="s">
        <v>179</v>
      </c>
      <c r="D107" s="216">
        <v>250</v>
      </c>
      <c r="E107" s="202"/>
      <c r="F107" s="201">
        <f t="shared" si="49"/>
        <v>0</v>
      </c>
      <c r="G107" s="201">
        <v>0</v>
      </c>
      <c r="H107" s="201">
        <f t="shared" si="39"/>
        <v>0</v>
      </c>
      <c r="I107" s="201"/>
      <c r="J107" s="201">
        <f t="shared" si="40"/>
        <v>0</v>
      </c>
      <c r="K107" s="200">
        <f t="shared" si="41"/>
        <v>0</v>
      </c>
      <c r="L107" s="201">
        <v>0</v>
      </c>
      <c r="M107" s="201">
        <f t="shared" si="42"/>
        <v>0</v>
      </c>
      <c r="N107" s="202">
        <v>0</v>
      </c>
      <c r="O107" s="201">
        <f t="shared" si="43"/>
        <v>0</v>
      </c>
      <c r="P107" s="203">
        <f t="shared" si="44"/>
        <v>0</v>
      </c>
      <c r="Q107" s="201">
        <f t="shared" si="45"/>
        <v>0</v>
      </c>
      <c r="R107" s="284">
        <f t="shared" si="50"/>
        <v>0</v>
      </c>
      <c r="S107" s="204"/>
      <c r="T107" s="204"/>
    </row>
    <row r="108" spans="1:20">
      <c r="A108" s="195"/>
      <c r="B108" s="196" t="s">
        <v>141</v>
      </c>
      <c r="C108" s="143" t="s">
        <v>179</v>
      </c>
      <c r="D108" s="216">
        <f>Assumptions!D95</f>
        <v>525</v>
      </c>
      <c r="E108" s="202">
        <f>Assumptions!B85*H4</f>
        <v>150</v>
      </c>
      <c r="F108" s="201">
        <f t="shared" si="49"/>
        <v>78750</v>
      </c>
      <c r="G108" s="202">
        <f>Assumptions!B85*P4</f>
        <v>0</v>
      </c>
      <c r="H108" s="201">
        <f t="shared" si="39"/>
        <v>0</v>
      </c>
      <c r="I108" s="201"/>
      <c r="J108" s="201">
        <f t="shared" si="40"/>
        <v>0</v>
      </c>
      <c r="K108" s="200">
        <f t="shared" si="41"/>
        <v>0</v>
      </c>
      <c r="L108" s="201">
        <v>0</v>
      </c>
      <c r="M108" s="201">
        <f t="shared" si="42"/>
        <v>0</v>
      </c>
      <c r="N108" s="202">
        <v>0</v>
      </c>
      <c r="O108" s="201">
        <f t="shared" si="43"/>
        <v>0</v>
      </c>
      <c r="P108" s="203">
        <f t="shared" si="44"/>
        <v>150</v>
      </c>
      <c r="Q108" s="201">
        <f t="shared" si="45"/>
        <v>78750</v>
      </c>
      <c r="R108" s="284">
        <f t="shared" si="50"/>
        <v>1211.5384615384614</v>
      </c>
      <c r="S108" s="204"/>
      <c r="T108" s="204"/>
    </row>
    <row r="109" spans="1:20">
      <c r="A109" s="195"/>
      <c r="B109" s="196" t="s">
        <v>142</v>
      </c>
      <c r="C109" s="143" t="s">
        <v>179</v>
      </c>
      <c r="D109" s="216">
        <v>150</v>
      </c>
      <c r="E109" s="202"/>
      <c r="F109" s="201">
        <f t="shared" si="49"/>
        <v>0</v>
      </c>
      <c r="G109" s="201">
        <v>0</v>
      </c>
      <c r="H109" s="201">
        <f t="shared" si="39"/>
        <v>0</v>
      </c>
      <c r="I109" s="201"/>
      <c r="J109" s="201">
        <f t="shared" si="40"/>
        <v>0</v>
      </c>
      <c r="K109" s="200">
        <f t="shared" si="41"/>
        <v>0</v>
      </c>
      <c r="L109" s="201">
        <v>0</v>
      </c>
      <c r="M109" s="201">
        <f t="shared" si="42"/>
        <v>0</v>
      </c>
      <c r="N109" s="202">
        <v>0</v>
      </c>
      <c r="O109" s="201">
        <f t="shared" si="43"/>
        <v>0</v>
      </c>
      <c r="P109" s="203">
        <f t="shared" si="44"/>
        <v>0</v>
      </c>
      <c r="Q109" s="201">
        <f t="shared" si="45"/>
        <v>0</v>
      </c>
      <c r="R109" s="284">
        <f t="shared" si="50"/>
        <v>0</v>
      </c>
      <c r="S109" s="204"/>
      <c r="T109" s="204"/>
    </row>
    <row r="110" spans="1:20">
      <c r="A110" s="195"/>
      <c r="B110" s="196" t="s">
        <v>143</v>
      </c>
      <c r="C110" s="143" t="s">
        <v>180</v>
      </c>
      <c r="D110" s="236">
        <v>3</v>
      </c>
      <c r="E110" s="202">
        <f>Assumptions!D85*H4</f>
        <v>1500</v>
      </c>
      <c r="F110" s="201">
        <f t="shared" si="49"/>
        <v>4500</v>
      </c>
      <c r="G110" s="202">
        <f>Assumptions!D85*P4</f>
        <v>0</v>
      </c>
      <c r="H110" s="201">
        <f t="shared" si="39"/>
        <v>0</v>
      </c>
      <c r="I110" s="201"/>
      <c r="J110" s="201">
        <f t="shared" si="40"/>
        <v>0</v>
      </c>
      <c r="K110" s="200">
        <f t="shared" si="41"/>
        <v>0</v>
      </c>
      <c r="L110" s="201">
        <v>0</v>
      </c>
      <c r="M110" s="201">
        <f t="shared" si="42"/>
        <v>0</v>
      </c>
      <c r="N110" s="202">
        <v>0</v>
      </c>
      <c r="O110" s="201">
        <f t="shared" si="43"/>
        <v>0</v>
      </c>
      <c r="P110" s="203">
        <f t="shared" si="44"/>
        <v>1500</v>
      </c>
      <c r="Q110" s="201">
        <f t="shared" si="45"/>
        <v>4500</v>
      </c>
      <c r="R110" s="284">
        <f t="shared" si="50"/>
        <v>69.230769230769226</v>
      </c>
      <c r="S110" s="204"/>
      <c r="T110" s="204"/>
    </row>
    <row r="111" spans="1:20">
      <c r="A111" s="195"/>
      <c r="B111" s="196" t="s">
        <v>144</v>
      </c>
      <c r="C111" s="143" t="s">
        <v>179</v>
      </c>
      <c r="D111" s="216">
        <v>250</v>
      </c>
      <c r="E111" s="202"/>
      <c r="F111" s="201">
        <f t="shared" si="49"/>
        <v>0</v>
      </c>
      <c r="G111" s="201">
        <v>0</v>
      </c>
      <c r="H111" s="201">
        <f t="shared" si="39"/>
        <v>0</v>
      </c>
      <c r="I111" s="201"/>
      <c r="J111" s="201">
        <f t="shared" si="40"/>
        <v>0</v>
      </c>
      <c r="K111" s="200">
        <f t="shared" si="41"/>
        <v>0</v>
      </c>
      <c r="L111" s="201">
        <v>0</v>
      </c>
      <c r="M111" s="201">
        <f t="shared" si="42"/>
        <v>0</v>
      </c>
      <c r="N111" s="202">
        <v>0</v>
      </c>
      <c r="O111" s="201">
        <f t="shared" si="43"/>
        <v>0</v>
      </c>
      <c r="P111" s="203">
        <f t="shared" si="44"/>
        <v>0</v>
      </c>
      <c r="Q111" s="201">
        <f t="shared" si="45"/>
        <v>0</v>
      </c>
      <c r="R111" s="284">
        <f t="shared" si="50"/>
        <v>0</v>
      </c>
      <c r="S111" s="204"/>
      <c r="T111" s="204"/>
    </row>
    <row r="112" spans="1:20">
      <c r="A112" s="195"/>
      <c r="B112" s="196" t="s">
        <v>181</v>
      </c>
      <c r="C112" s="143" t="s">
        <v>179</v>
      </c>
      <c r="D112" s="216">
        <v>525</v>
      </c>
      <c r="E112" s="202"/>
      <c r="F112" s="201">
        <f t="shared" si="49"/>
        <v>0</v>
      </c>
      <c r="G112" s="201">
        <v>0</v>
      </c>
      <c r="H112" s="201">
        <f t="shared" si="39"/>
        <v>0</v>
      </c>
      <c r="I112" s="201"/>
      <c r="J112" s="201">
        <f t="shared" si="40"/>
        <v>0</v>
      </c>
      <c r="K112" s="200">
        <f t="shared" si="41"/>
        <v>0</v>
      </c>
      <c r="L112" s="201">
        <v>0</v>
      </c>
      <c r="M112" s="201">
        <f t="shared" si="42"/>
        <v>0</v>
      </c>
      <c r="N112" s="202">
        <v>0</v>
      </c>
      <c r="O112" s="201">
        <f t="shared" si="43"/>
        <v>0</v>
      </c>
      <c r="P112" s="203">
        <f t="shared" si="44"/>
        <v>0</v>
      </c>
      <c r="Q112" s="201">
        <f t="shared" si="45"/>
        <v>0</v>
      </c>
      <c r="R112" s="284">
        <f t="shared" si="50"/>
        <v>0</v>
      </c>
      <c r="S112" s="204"/>
      <c r="T112" s="204"/>
    </row>
    <row r="113" spans="1:20">
      <c r="A113" s="195"/>
      <c r="B113" s="196" t="s">
        <v>182</v>
      </c>
      <c r="C113" s="143" t="s">
        <v>179</v>
      </c>
      <c r="D113" s="216">
        <v>150</v>
      </c>
      <c r="E113" s="202"/>
      <c r="F113" s="201">
        <f t="shared" si="49"/>
        <v>0</v>
      </c>
      <c r="G113" s="201">
        <v>0</v>
      </c>
      <c r="H113" s="201">
        <f t="shared" si="39"/>
        <v>0</v>
      </c>
      <c r="I113" s="201"/>
      <c r="J113" s="201">
        <f t="shared" si="40"/>
        <v>0</v>
      </c>
      <c r="K113" s="200">
        <f t="shared" si="41"/>
        <v>0</v>
      </c>
      <c r="L113" s="201">
        <v>0</v>
      </c>
      <c r="M113" s="201">
        <f t="shared" si="42"/>
        <v>0</v>
      </c>
      <c r="N113" s="202">
        <v>0</v>
      </c>
      <c r="O113" s="201">
        <f t="shared" si="43"/>
        <v>0</v>
      </c>
      <c r="P113" s="203">
        <f t="shared" si="44"/>
        <v>0</v>
      </c>
      <c r="Q113" s="201">
        <f t="shared" si="45"/>
        <v>0</v>
      </c>
      <c r="R113" s="284">
        <f t="shared" si="50"/>
        <v>0</v>
      </c>
      <c r="S113" s="204"/>
      <c r="T113" s="204"/>
    </row>
    <row r="114" spans="1:20">
      <c r="A114" s="195"/>
      <c r="B114" s="196" t="s">
        <v>183</v>
      </c>
      <c r="C114" s="143" t="s">
        <v>180</v>
      </c>
      <c r="D114" s="236">
        <v>3</v>
      </c>
      <c r="E114" s="202"/>
      <c r="F114" s="201">
        <f t="shared" si="49"/>
        <v>0</v>
      </c>
      <c r="G114" s="201">
        <v>0</v>
      </c>
      <c r="H114" s="201">
        <f t="shared" si="39"/>
        <v>0</v>
      </c>
      <c r="I114" s="201"/>
      <c r="J114" s="201">
        <f t="shared" si="40"/>
        <v>0</v>
      </c>
      <c r="K114" s="200">
        <f t="shared" si="41"/>
        <v>0</v>
      </c>
      <c r="L114" s="201">
        <v>0</v>
      </c>
      <c r="M114" s="201">
        <f t="shared" si="42"/>
        <v>0</v>
      </c>
      <c r="N114" s="202">
        <v>0</v>
      </c>
      <c r="O114" s="201">
        <f t="shared" si="43"/>
        <v>0</v>
      </c>
      <c r="P114" s="203">
        <f t="shared" si="44"/>
        <v>0</v>
      </c>
      <c r="Q114" s="201">
        <f t="shared" si="45"/>
        <v>0</v>
      </c>
      <c r="R114" s="284">
        <f t="shared" si="50"/>
        <v>0</v>
      </c>
      <c r="S114" s="204"/>
      <c r="T114" s="204"/>
    </row>
    <row r="115" spans="1:20">
      <c r="A115" s="195"/>
      <c r="B115" s="196" t="s">
        <v>184</v>
      </c>
      <c r="C115" s="143" t="s">
        <v>179</v>
      </c>
      <c r="D115" s="216">
        <v>250</v>
      </c>
      <c r="E115" s="202"/>
      <c r="F115" s="201">
        <f t="shared" si="49"/>
        <v>0</v>
      </c>
      <c r="G115" s="201">
        <v>0</v>
      </c>
      <c r="H115" s="201">
        <f t="shared" si="39"/>
        <v>0</v>
      </c>
      <c r="I115" s="201"/>
      <c r="J115" s="201">
        <f t="shared" si="40"/>
        <v>0</v>
      </c>
      <c r="K115" s="200">
        <f t="shared" si="41"/>
        <v>0</v>
      </c>
      <c r="L115" s="201">
        <v>0</v>
      </c>
      <c r="M115" s="201">
        <f t="shared" si="42"/>
        <v>0</v>
      </c>
      <c r="N115" s="202">
        <v>0</v>
      </c>
      <c r="O115" s="201">
        <f t="shared" si="43"/>
        <v>0</v>
      </c>
      <c r="P115" s="203">
        <f t="shared" si="44"/>
        <v>0</v>
      </c>
      <c r="Q115" s="201">
        <f t="shared" si="45"/>
        <v>0</v>
      </c>
      <c r="R115" s="284">
        <f t="shared" si="50"/>
        <v>0</v>
      </c>
      <c r="S115" s="204"/>
      <c r="T115" s="204"/>
    </row>
    <row r="116" spans="1:20">
      <c r="A116" s="195"/>
      <c r="B116" s="196" t="s">
        <v>185</v>
      </c>
      <c r="C116" s="143" t="s">
        <v>179</v>
      </c>
      <c r="D116" s="216">
        <v>525</v>
      </c>
      <c r="E116" s="202"/>
      <c r="F116" s="201">
        <f t="shared" si="49"/>
        <v>0</v>
      </c>
      <c r="G116" s="201">
        <v>0</v>
      </c>
      <c r="H116" s="201">
        <f t="shared" si="39"/>
        <v>0</v>
      </c>
      <c r="I116" s="201"/>
      <c r="J116" s="201">
        <f t="shared" si="40"/>
        <v>0</v>
      </c>
      <c r="K116" s="200">
        <f>J116/$D$2</f>
        <v>0</v>
      </c>
      <c r="L116" s="201">
        <v>0</v>
      </c>
      <c r="M116" s="201">
        <f t="shared" si="42"/>
        <v>0</v>
      </c>
      <c r="N116" s="202">
        <v>0</v>
      </c>
      <c r="O116" s="201">
        <f t="shared" si="43"/>
        <v>0</v>
      </c>
      <c r="P116" s="203">
        <f t="shared" si="44"/>
        <v>0</v>
      </c>
      <c r="Q116" s="201">
        <f t="shared" si="45"/>
        <v>0</v>
      </c>
      <c r="R116" s="284">
        <f t="shared" si="50"/>
        <v>0</v>
      </c>
      <c r="S116" s="204"/>
      <c r="T116" s="204"/>
    </row>
    <row r="117" spans="1:20">
      <c r="A117" s="195"/>
      <c r="B117" s="196" t="s">
        <v>186</v>
      </c>
      <c r="C117" s="143" t="s">
        <v>179</v>
      </c>
      <c r="D117" s="216">
        <v>150</v>
      </c>
      <c r="E117" s="202"/>
      <c r="F117" s="201">
        <f t="shared" si="49"/>
        <v>0</v>
      </c>
      <c r="G117" s="201">
        <v>0</v>
      </c>
      <c r="H117" s="201">
        <f t="shared" si="39"/>
        <v>0</v>
      </c>
      <c r="I117" s="201"/>
      <c r="J117" s="201">
        <f t="shared" si="40"/>
        <v>0</v>
      </c>
      <c r="K117" s="200">
        <f>J117/$D$2</f>
        <v>0</v>
      </c>
      <c r="L117" s="201">
        <v>0</v>
      </c>
      <c r="M117" s="201">
        <f t="shared" si="42"/>
        <v>0</v>
      </c>
      <c r="N117" s="202">
        <v>0</v>
      </c>
      <c r="O117" s="201">
        <f t="shared" si="43"/>
        <v>0</v>
      </c>
      <c r="P117" s="203">
        <f t="shared" si="44"/>
        <v>0</v>
      </c>
      <c r="Q117" s="201">
        <f t="shared" si="45"/>
        <v>0</v>
      </c>
      <c r="R117" s="284">
        <f t="shared" si="50"/>
        <v>0</v>
      </c>
      <c r="S117" s="204"/>
      <c r="T117" s="204"/>
    </row>
    <row r="118" spans="1:20">
      <c r="A118" s="195"/>
      <c r="B118" s="196" t="s">
        <v>187</v>
      </c>
      <c r="C118" s="143" t="s">
        <v>180</v>
      </c>
      <c r="D118" s="236">
        <v>3</v>
      </c>
      <c r="E118" s="202"/>
      <c r="F118" s="201">
        <f t="shared" si="49"/>
        <v>0</v>
      </c>
      <c r="G118" s="201">
        <v>0</v>
      </c>
      <c r="H118" s="201">
        <f t="shared" si="39"/>
        <v>0</v>
      </c>
      <c r="I118" s="201"/>
      <c r="J118" s="201">
        <f t="shared" si="40"/>
        <v>0</v>
      </c>
      <c r="K118" s="200">
        <f>J118/$D$2</f>
        <v>0</v>
      </c>
      <c r="L118" s="201">
        <v>0</v>
      </c>
      <c r="M118" s="201">
        <f t="shared" si="42"/>
        <v>0</v>
      </c>
      <c r="N118" s="202">
        <v>0</v>
      </c>
      <c r="O118" s="201">
        <f t="shared" si="43"/>
        <v>0</v>
      </c>
      <c r="P118" s="203">
        <f t="shared" si="44"/>
        <v>0</v>
      </c>
      <c r="Q118" s="201">
        <f t="shared" si="45"/>
        <v>0</v>
      </c>
      <c r="R118" s="284">
        <f t="shared" si="50"/>
        <v>0</v>
      </c>
      <c r="S118" s="204"/>
      <c r="T118" s="204"/>
    </row>
    <row r="119" spans="1:20">
      <c r="A119" s="195"/>
      <c r="B119" s="196" t="s">
        <v>188</v>
      </c>
      <c r="C119" s="143" t="s">
        <v>179</v>
      </c>
      <c r="D119" s="216">
        <v>245</v>
      </c>
      <c r="E119" s="202"/>
      <c r="F119" s="201">
        <f t="shared" si="49"/>
        <v>0</v>
      </c>
      <c r="G119" s="201">
        <v>0</v>
      </c>
      <c r="H119" s="201">
        <f t="shared" si="39"/>
        <v>0</v>
      </c>
      <c r="I119" s="201"/>
      <c r="J119" s="201">
        <f t="shared" si="40"/>
        <v>0</v>
      </c>
      <c r="K119" s="200">
        <f>J119/$D$2</f>
        <v>0</v>
      </c>
      <c r="L119" s="201">
        <v>0</v>
      </c>
      <c r="M119" s="201">
        <f t="shared" si="42"/>
        <v>0</v>
      </c>
      <c r="N119" s="202">
        <v>0</v>
      </c>
      <c r="O119" s="201">
        <f t="shared" si="43"/>
        <v>0</v>
      </c>
      <c r="P119" s="203">
        <f t="shared" si="44"/>
        <v>0</v>
      </c>
      <c r="Q119" s="201">
        <f t="shared" si="45"/>
        <v>0</v>
      </c>
      <c r="R119" s="284">
        <f>+Q119/DollarLC</f>
        <v>0</v>
      </c>
      <c r="S119" s="204"/>
      <c r="T119" s="204"/>
    </row>
    <row r="120" spans="1:20">
      <c r="A120" s="195"/>
      <c r="B120" s="185" t="s">
        <v>345</v>
      </c>
      <c r="C120" s="143"/>
      <c r="D120" s="216"/>
      <c r="E120" s="202"/>
      <c r="F120" s="201">
        <f t="shared" ref="F120:F143" si="51">ROUND(E120*D120,0)</f>
        <v>0</v>
      </c>
      <c r="G120" s="201">
        <v>0</v>
      </c>
      <c r="H120" s="201">
        <f t="shared" si="39"/>
        <v>0</v>
      </c>
      <c r="I120" s="201"/>
      <c r="J120" s="201">
        <f t="shared" si="40"/>
        <v>0</v>
      </c>
      <c r="K120" s="200">
        <f t="shared" ref="K120:K136" si="52">J120/$D$2</f>
        <v>0</v>
      </c>
      <c r="L120" s="201">
        <v>0</v>
      </c>
      <c r="M120" s="201">
        <f t="shared" si="42"/>
        <v>0</v>
      </c>
      <c r="N120" s="202">
        <v>0</v>
      </c>
      <c r="O120" s="201">
        <f t="shared" si="43"/>
        <v>0</v>
      </c>
      <c r="P120" s="203">
        <f t="shared" si="44"/>
        <v>0</v>
      </c>
      <c r="Q120" s="201">
        <f t="shared" si="45"/>
        <v>0</v>
      </c>
      <c r="R120" s="284">
        <f t="shared" ref="R120:R150" si="53">+Q120/DollarLC</f>
        <v>0</v>
      </c>
      <c r="S120" s="204"/>
      <c r="T120" s="204"/>
    </row>
    <row r="121" spans="1:20">
      <c r="A121" s="195"/>
      <c r="B121" s="196" t="s">
        <v>137</v>
      </c>
      <c r="C121" s="143" t="s">
        <v>179</v>
      </c>
      <c r="D121" s="216">
        <f>Assumptions!D94</f>
        <v>420</v>
      </c>
      <c r="E121" s="202">
        <f>Assumptions!B86*H4</f>
        <v>62.5</v>
      </c>
      <c r="F121" s="201">
        <f t="shared" si="51"/>
        <v>26250</v>
      </c>
      <c r="G121" s="202">
        <f>Assumptions!B86*P4</f>
        <v>0</v>
      </c>
      <c r="H121" s="201">
        <f t="shared" ref="H121:H152" si="54">ROUND(G121*D121*usinflation_yr2,0)</f>
        <v>0</v>
      </c>
      <c r="I121" s="201"/>
      <c r="J121" s="201">
        <f t="shared" ref="J121:J152" si="55">ROUND(I121*D121*usinflation_yr3,0)</f>
        <v>0</v>
      </c>
      <c r="K121" s="200">
        <f t="shared" si="52"/>
        <v>0</v>
      </c>
      <c r="L121" s="201">
        <v>0</v>
      </c>
      <c r="M121" s="201">
        <f t="shared" ref="M121:M152" si="56">ROUND(L121*D121*usinflation_yr4,0)</f>
        <v>0</v>
      </c>
      <c r="N121" s="202">
        <v>0</v>
      </c>
      <c r="O121" s="201">
        <f t="shared" ref="O121:O152" si="57">ROUND(N121*D121*usinflation_yr5,0)</f>
        <v>0</v>
      </c>
      <c r="P121" s="203">
        <f t="shared" ref="P121:P152" si="58">E121+G121+I121+L121+N121</f>
        <v>62.5</v>
      </c>
      <c r="Q121" s="201">
        <f t="shared" ref="Q121:Q141" si="59">O121+M121+J121+H121+F121</f>
        <v>26250</v>
      </c>
      <c r="R121" s="284">
        <f t="shared" si="53"/>
        <v>403.84615384615387</v>
      </c>
      <c r="S121" s="204"/>
      <c r="T121" s="204"/>
    </row>
    <row r="122" spans="1:20">
      <c r="A122" s="195"/>
      <c r="B122" s="196" t="s">
        <v>138</v>
      </c>
      <c r="C122" s="143" t="s">
        <v>179</v>
      </c>
      <c r="D122" s="216">
        <v>200</v>
      </c>
      <c r="E122" s="202"/>
      <c r="F122" s="201">
        <f t="shared" si="51"/>
        <v>0</v>
      </c>
      <c r="G122" s="201">
        <v>0</v>
      </c>
      <c r="H122" s="201">
        <f t="shared" si="54"/>
        <v>0</v>
      </c>
      <c r="I122" s="201"/>
      <c r="J122" s="201">
        <f t="shared" si="55"/>
        <v>0</v>
      </c>
      <c r="K122" s="200">
        <f t="shared" si="52"/>
        <v>0</v>
      </c>
      <c r="L122" s="201">
        <v>0</v>
      </c>
      <c r="M122" s="201">
        <f t="shared" si="56"/>
        <v>0</v>
      </c>
      <c r="N122" s="202">
        <v>0</v>
      </c>
      <c r="O122" s="201">
        <f t="shared" si="57"/>
        <v>0</v>
      </c>
      <c r="P122" s="203">
        <f t="shared" si="58"/>
        <v>0</v>
      </c>
      <c r="Q122" s="201">
        <f t="shared" si="59"/>
        <v>0</v>
      </c>
      <c r="R122" s="284">
        <f t="shared" si="53"/>
        <v>0</v>
      </c>
      <c r="S122" s="204"/>
      <c r="T122" s="204"/>
    </row>
    <row r="123" spans="1:20">
      <c r="A123" s="195"/>
      <c r="B123" s="196" t="s">
        <v>139</v>
      </c>
      <c r="C123" s="143" t="s">
        <v>180</v>
      </c>
      <c r="D123" s="236">
        <v>3</v>
      </c>
      <c r="E123" s="202">
        <f>Assumptions!D86*H4</f>
        <v>625</v>
      </c>
      <c r="F123" s="201">
        <f t="shared" si="51"/>
        <v>1875</v>
      </c>
      <c r="G123" s="202">
        <f>Assumptions!D86*P4</f>
        <v>0</v>
      </c>
      <c r="H123" s="201">
        <f t="shared" si="54"/>
        <v>0</v>
      </c>
      <c r="I123" s="201"/>
      <c r="J123" s="201">
        <f t="shared" si="55"/>
        <v>0</v>
      </c>
      <c r="K123" s="200">
        <f t="shared" si="52"/>
        <v>0</v>
      </c>
      <c r="L123" s="201">
        <v>0</v>
      </c>
      <c r="M123" s="201">
        <f t="shared" si="56"/>
        <v>0</v>
      </c>
      <c r="N123" s="202">
        <v>0</v>
      </c>
      <c r="O123" s="201">
        <f t="shared" si="57"/>
        <v>0</v>
      </c>
      <c r="P123" s="203">
        <f t="shared" si="58"/>
        <v>625</v>
      </c>
      <c r="Q123" s="201">
        <f t="shared" si="59"/>
        <v>1875</v>
      </c>
      <c r="R123" s="284">
        <f t="shared" si="53"/>
        <v>28.846153846153847</v>
      </c>
      <c r="S123" s="204"/>
      <c r="T123" s="204"/>
    </row>
    <row r="124" spans="1:20">
      <c r="A124" s="195"/>
      <c r="B124" s="196" t="s">
        <v>140</v>
      </c>
      <c r="C124" s="143" t="s">
        <v>179</v>
      </c>
      <c r="D124" s="216">
        <v>250</v>
      </c>
      <c r="E124" s="202"/>
      <c r="F124" s="201">
        <f t="shared" si="51"/>
        <v>0</v>
      </c>
      <c r="G124" s="201">
        <v>0</v>
      </c>
      <c r="H124" s="201">
        <f t="shared" si="54"/>
        <v>0</v>
      </c>
      <c r="I124" s="201"/>
      <c r="J124" s="201">
        <f t="shared" si="55"/>
        <v>0</v>
      </c>
      <c r="K124" s="200">
        <f t="shared" si="52"/>
        <v>0</v>
      </c>
      <c r="L124" s="201">
        <v>0</v>
      </c>
      <c r="M124" s="201">
        <f t="shared" si="56"/>
        <v>0</v>
      </c>
      <c r="N124" s="202">
        <v>0</v>
      </c>
      <c r="O124" s="201">
        <f t="shared" si="57"/>
        <v>0</v>
      </c>
      <c r="P124" s="203">
        <f t="shared" si="58"/>
        <v>0</v>
      </c>
      <c r="Q124" s="201">
        <f t="shared" si="59"/>
        <v>0</v>
      </c>
      <c r="R124" s="284">
        <f t="shared" si="53"/>
        <v>0</v>
      </c>
      <c r="S124" s="204"/>
      <c r="T124" s="204"/>
    </row>
    <row r="125" spans="1:20">
      <c r="A125" s="195"/>
      <c r="B125" s="196" t="s">
        <v>346</v>
      </c>
      <c r="C125" s="143" t="s">
        <v>179</v>
      </c>
      <c r="D125" s="216">
        <f>Assumptions!D95</f>
        <v>525</v>
      </c>
      <c r="E125" s="202">
        <f>Assumptions!B87*H4</f>
        <v>150</v>
      </c>
      <c r="F125" s="201">
        <f t="shared" si="51"/>
        <v>78750</v>
      </c>
      <c r="G125" s="202">
        <f>Assumptions!B87*P4</f>
        <v>0</v>
      </c>
      <c r="H125" s="201">
        <f t="shared" si="54"/>
        <v>0</v>
      </c>
      <c r="I125" s="201"/>
      <c r="J125" s="201">
        <f t="shared" si="55"/>
        <v>0</v>
      </c>
      <c r="K125" s="200">
        <f t="shared" si="52"/>
        <v>0</v>
      </c>
      <c r="L125" s="201">
        <v>0</v>
      </c>
      <c r="M125" s="201">
        <f t="shared" si="56"/>
        <v>0</v>
      </c>
      <c r="N125" s="202">
        <v>0</v>
      </c>
      <c r="O125" s="201">
        <f t="shared" si="57"/>
        <v>0</v>
      </c>
      <c r="P125" s="203">
        <f t="shared" si="58"/>
        <v>150</v>
      </c>
      <c r="Q125" s="201">
        <f t="shared" si="59"/>
        <v>78750</v>
      </c>
      <c r="R125" s="284">
        <f t="shared" si="53"/>
        <v>1211.5384615384614</v>
      </c>
      <c r="S125" s="204"/>
      <c r="T125" s="204"/>
    </row>
    <row r="126" spans="1:20">
      <c r="A126" s="195"/>
      <c r="B126" s="196" t="s">
        <v>221</v>
      </c>
      <c r="C126" s="143" t="s">
        <v>179</v>
      </c>
      <c r="D126" s="216">
        <v>100</v>
      </c>
      <c r="E126" s="202"/>
      <c r="F126" s="201">
        <f t="shared" si="51"/>
        <v>0</v>
      </c>
      <c r="G126" s="201">
        <v>0</v>
      </c>
      <c r="H126" s="201">
        <f t="shared" si="54"/>
        <v>0</v>
      </c>
      <c r="I126" s="201"/>
      <c r="J126" s="201">
        <f t="shared" si="55"/>
        <v>0</v>
      </c>
      <c r="K126" s="200">
        <f t="shared" si="52"/>
        <v>0</v>
      </c>
      <c r="L126" s="201">
        <v>0</v>
      </c>
      <c r="M126" s="201">
        <f t="shared" si="56"/>
        <v>0</v>
      </c>
      <c r="N126" s="202">
        <v>0</v>
      </c>
      <c r="O126" s="201">
        <f t="shared" si="57"/>
        <v>0</v>
      </c>
      <c r="P126" s="203">
        <f t="shared" si="58"/>
        <v>0</v>
      </c>
      <c r="Q126" s="201">
        <f t="shared" si="59"/>
        <v>0</v>
      </c>
      <c r="R126" s="284">
        <f t="shared" si="53"/>
        <v>0</v>
      </c>
      <c r="S126" s="204"/>
      <c r="T126" s="204"/>
    </row>
    <row r="127" spans="1:20">
      <c r="A127" s="195"/>
      <c r="B127" s="196" t="s">
        <v>143</v>
      </c>
      <c r="C127" s="143" t="s">
        <v>179</v>
      </c>
      <c r="D127" s="236">
        <v>3</v>
      </c>
      <c r="E127" s="202">
        <f>Assumptions!D87*H4</f>
        <v>1500</v>
      </c>
      <c r="F127" s="201">
        <f t="shared" si="51"/>
        <v>4500</v>
      </c>
      <c r="G127" s="202">
        <f>Assumptions!D87*P4</f>
        <v>0</v>
      </c>
      <c r="H127" s="201">
        <f t="shared" si="54"/>
        <v>0</v>
      </c>
      <c r="I127" s="201"/>
      <c r="J127" s="201">
        <f t="shared" si="55"/>
        <v>0</v>
      </c>
      <c r="K127" s="200">
        <f t="shared" si="52"/>
        <v>0</v>
      </c>
      <c r="L127" s="201">
        <v>0</v>
      </c>
      <c r="M127" s="201">
        <f t="shared" si="56"/>
        <v>0</v>
      </c>
      <c r="N127" s="202">
        <v>0</v>
      </c>
      <c r="O127" s="201">
        <f t="shared" si="57"/>
        <v>0</v>
      </c>
      <c r="P127" s="203">
        <f t="shared" si="58"/>
        <v>1500</v>
      </c>
      <c r="Q127" s="201">
        <f t="shared" si="59"/>
        <v>4500</v>
      </c>
      <c r="R127" s="284">
        <f t="shared" si="53"/>
        <v>69.230769230769226</v>
      </c>
      <c r="S127" s="204"/>
      <c r="T127" s="204"/>
    </row>
    <row r="128" spans="1:20" hidden="1">
      <c r="A128" s="195"/>
      <c r="B128" s="196" t="s">
        <v>144</v>
      </c>
      <c r="C128" s="143" t="s">
        <v>179</v>
      </c>
      <c r="D128" s="216">
        <v>250</v>
      </c>
      <c r="E128" s="202"/>
      <c r="F128" s="201">
        <f t="shared" si="51"/>
        <v>0</v>
      </c>
      <c r="G128" s="201">
        <v>0</v>
      </c>
      <c r="H128" s="201">
        <f t="shared" si="54"/>
        <v>0</v>
      </c>
      <c r="I128" s="201"/>
      <c r="J128" s="201">
        <f t="shared" si="55"/>
        <v>0</v>
      </c>
      <c r="K128" s="200">
        <f t="shared" si="52"/>
        <v>0</v>
      </c>
      <c r="L128" s="201">
        <v>0</v>
      </c>
      <c r="M128" s="201">
        <f t="shared" si="56"/>
        <v>0</v>
      </c>
      <c r="N128" s="202">
        <v>0</v>
      </c>
      <c r="O128" s="201">
        <f t="shared" si="57"/>
        <v>0</v>
      </c>
      <c r="P128" s="203">
        <f t="shared" si="58"/>
        <v>0</v>
      </c>
      <c r="Q128" s="201">
        <f t="shared" si="59"/>
        <v>0</v>
      </c>
      <c r="R128" s="284">
        <f t="shared" si="53"/>
        <v>0</v>
      </c>
      <c r="S128" s="204"/>
      <c r="T128" s="204"/>
    </row>
    <row r="129" spans="1:33" hidden="1">
      <c r="A129" s="195"/>
      <c r="B129" s="196" t="s">
        <v>181</v>
      </c>
      <c r="C129" s="143" t="s">
        <v>220</v>
      </c>
      <c r="D129" s="216">
        <f>25000/30</f>
        <v>833.33333333333337</v>
      </c>
      <c r="E129" s="202"/>
      <c r="F129" s="201">
        <f t="shared" si="51"/>
        <v>0</v>
      </c>
      <c r="G129" s="201">
        <v>0</v>
      </c>
      <c r="H129" s="201">
        <f t="shared" si="54"/>
        <v>0</v>
      </c>
      <c r="I129" s="201"/>
      <c r="J129" s="201">
        <f t="shared" si="55"/>
        <v>0</v>
      </c>
      <c r="K129" s="200">
        <f t="shared" si="52"/>
        <v>0</v>
      </c>
      <c r="L129" s="201">
        <v>0</v>
      </c>
      <c r="M129" s="201">
        <f t="shared" si="56"/>
        <v>0</v>
      </c>
      <c r="N129" s="202">
        <v>0</v>
      </c>
      <c r="O129" s="201">
        <f t="shared" si="57"/>
        <v>0</v>
      </c>
      <c r="P129" s="203">
        <f t="shared" si="58"/>
        <v>0</v>
      </c>
      <c r="Q129" s="201">
        <f t="shared" si="59"/>
        <v>0</v>
      </c>
      <c r="R129" s="284">
        <f t="shared" si="53"/>
        <v>0</v>
      </c>
      <c r="S129" s="204"/>
      <c r="T129" s="204"/>
    </row>
    <row r="130" spans="1:33" hidden="1">
      <c r="A130" s="195"/>
      <c r="B130" s="196" t="s">
        <v>182</v>
      </c>
      <c r="C130" s="143" t="s">
        <v>179</v>
      </c>
      <c r="D130" s="216">
        <v>200</v>
      </c>
      <c r="E130" s="202"/>
      <c r="F130" s="201">
        <f t="shared" si="51"/>
        <v>0</v>
      </c>
      <c r="G130" s="201">
        <v>0</v>
      </c>
      <c r="H130" s="201">
        <f t="shared" si="54"/>
        <v>0</v>
      </c>
      <c r="I130" s="201"/>
      <c r="J130" s="201">
        <f t="shared" si="55"/>
        <v>0</v>
      </c>
      <c r="K130" s="200">
        <f t="shared" si="52"/>
        <v>0</v>
      </c>
      <c r="L130" s="201">
        <v>0</v>
      </c>
      <c r="M130" s="201">
        <f t="shared" si="56"/>
        <v>0</v>
      </c>
      <c r="N130" s="202">
        <v>0</v>
      </c>
      <c r="O130" s="201">
        <f t="shared" si="57"/>
        <v>0</v>
      </c>
      <c r="P130" s="203">
        <f t="shared" si="58"/>
        <v>0</v>
      </c>
      <c r="Q130" s="201">
        <f t="shared" si="59"/>
        <v>0</v>
      </c>
      <c r="R130" s="284">
        <f t="shared" si="53"/>
        <v>0</v>
      </c>
      <c r="S130" s="204"/>
      <c r="T130" s="204"/>
    </row>
    <row r="131" spans="1:33" hidden="1">
      <c r="A131" s="195"/>
      <c r="B131" s="196" t="s">
        <v>183</v>
      </c>
      <c r="C131" s="143" t="s">
        <v>180</v>
      </c>
      <c r="D131" s="236">
        <v>3</v>
      </c>
      <c r="E131" s="202"/>
      <c r="F131" s="201">
        <f t="shared" si="51"/>
        <v>0</v>
      </c>
      <c r="G131" s="201">
        <v>0</v>
      </c>
      <c r="H131" s="201">
        <f t="shared" si="54"/>
        <v>0</v>
      </c>
      <c r="I131" s="201"/>
      <c r="J131" s="201">
        <f t="shared" si="55"/>
        <v>0</v>
      </c>
      <c r="K131" s="200">
        <f t="shared" si="52"/>
        <v>0</v>
      </c>
      <c r="L131" s="201">
        <v>0</v>
      </c>
      <c r="M131" s="201">
        <f t="shared" si="56"/>
        <v>0</v>
      </c>
      <c r="N131" s="202">
        <v>0</v>
      </c>
      <c r="O131" s="201">
        <f t="shared" si="57"/>
        <v>0</v>
      </c>
      <c r="P131" s="203">
        <f t="shared" si="58"/>
        <v>0</v>
      </c>
      <c r="Q131" s="201">
        <f t="shared" si="59"/>
        <v>0</v>
      </c>
      <c r="R131" s="284">
        <f t="shared" si="53"/>
        <v>0</v>
      </c>
      <c r="S131" s="204"/>
      <c r="T131" s="204"/>
    </row>
    <row r="132" spans="1:33" hidden="1">
      <c r="A132" s="195"/>
      <c r="B132" s="196" t="s">
        <v>184</v>
      </c>
      <c r="C132" s="143" t="s">
        <v>179</v>
      </c>
      <c r="D132" s="216">
        <v>250</v>
      </c>
      <c r="E132" s="202"/>
      <c r="F132" s="201">
        <f t="shared" si="51"/>
        <v>0</v>
      </c>
      <c r="G132" s="201">
        <v>0</v>
      </c>
      <c r="H132" s="201">
        <f t="shared" si="54"/>
        <v>0</v>
      </c>
      <c r="I132" s="201"/>
      <c r="J132" s="201">
        <f t="shared" si="55"/>
        <v>0</v>
      </c>
      <c r="K132" s="200">
        <f t="shared" si="52"/>
        <v>0</v>
      </c>
      <c r="L132" s="201">
        <v>0</v>
      </c>
      <c r="M132" s="201">
        <f t="shared" si="56"/>
        <v>0</v>
      </c>
      <c r="N132" s="202">
        <v>0</v>
      </c>
      <c r="O132" s="201">
        <f t="shared" si="57"/>
        <v>0</v>
      </c>
      <c r="P132" s="203">
        <f t="shared" si="58"/>
        <v>0</v>
      </c>
      <c r="Q132" s="201">
        <f t="shared" si="59"/>
        <v>0</v>
      </c>
      <c r="R132" s="284">
        <f t="shared" si="53"/>
        <v>0</v>
      </c>
      <c r="S132" s="204"/>
      <c r="T132" s="204"/>
    </row>
    <row r="133" spans="1:33" hidden="1">
      <c r="A133" s="195"/>
      <c r="B133" s="196" t="s">
        <v>185</v>
      </c>
      <c r="C133" s="143" t="s">
        <v>179</v>
      </c>
      <c r="D133" s="216">
        <v>525</v>
      </c>
      <c r="E133" s="202"/>
      <c r="F133" s="201">
        <f t="shared" si="51"/>
        <v>0</v>
      </c>
      <c r="G133" s="201">
        <v>0</v>
      </c>
      <c r="H133" s="201">
        <f t="shared" si="54"/>
        <v>0</v>
      </c>
      <c r="I133" s="201"/>
      <c r="J133" s="201">
        <f t="shared" si="55"/>
        <v>0</v>
      </c>
      <c r="K133" s="200">
        <f t="shared" si="52"/>
        <v>0</v>
      </c>
      <c r="L133" s="201">
        <v>0</v>
      </c>
      <c r="M133" s="201">
        <f t="shared" si="56"/>
        <v>0</v>
      </c>
      <c r="N133" s="202">
        <v>0</v>
      </c>
      <c r="O133" s="201">
        <f t="shared" si="57"/>
        <v>0</v>
      </c>
      <c r="P133" s="203">
        <f t="shared" si="58"/>
        <v>0</v>
      </c>
      <c r="Q133" s="201">
        <f t="shared" si="59"/>
        <v>0</v>
      </c>
      <c r="R133" s="284">
        <f t="shared" si="53"/>
        <v>0</v>
      </c>
      <c r="S133" s="204"/>
      <c r="T133" s="204"/>
    </row>
    <row r="134" spans="1:33" hidden="1">
      <c r="A134" s="195"/>
      <c r="B134" s="196" t="s">
        <v>186</v>
      </c>
      <c r="C134" s="143" t="s">
        <v>179</v>
      </c>
      <c r="D134" s="216">
        <v>150</v>
      </c>
      <c r="E134" s="202"/>
      <c r="F134" s="201">
        <f t="shared" si="51"/>
        <v>0</v>
      </c>
      <c r="G134" s="201">
        <v>0</v>
      </c>
      <c r="H134" s="201">
        <f t="shared" si="54"/>
        <v>0</v>
      </c>
      <c r="I134" s="201"/>
      <c r="J134" s="201">
        <f t="shared" si="55"/>
        <v>0</v>
      </c>
      <c r="K134" s="200">
        <f t="shared" si="52"/>
        <v>0</v>
      </c>
      <c r="L134" s="201">
        <v>0</v>
      </c>
      <c r="M134" s="201">
        <f t="shared" si="56"/>
        <v>0</v>
      </c>
      <c r="N134" s="202">
        <v>0</v>
      </c>
      <c r="O134" s="201">
        <f t="shared" si="57"/>
        <v>0</v>
      </c>
      <c r="P134" s="203">
        <f t="shared" si="58"/>
        <v>0</v>
      </c>
      <c r="Q134" s="201">
        <f t="shared" si="59"/>
        <v>0</v>
      </c>
      <c r="R134" s="284">
        <f t="shared" si="53"/>
        <v>0</v>
      </c>
      <c r="S134" s="204"/>
      <c r="T134" s="204"/>
    </row>
    <row r="135" spans="1:33" hidden="1">
      <c r="A135" s="195"/>
      <c r="B135" s="196" t="s">
        <v>187</v>
      </c>
      <c r="C135" s="143" t="s">
        <v>180</v>
      </c>
      <c r="D135" s="236">
        <v>3</v>
      </c>
      <c r="E135" s="202"/>
      <c r="F135" s="201">
        <f t="shared" si="51"/>
        <v>0</v>
      </c>
      <c r="G135" s="201">
        <v>0</v>
      </c>
      <c r="H135" s="201">
        <f t="shared" si="54"/>
        <v>0</v>
      </c>
      <c r="I135" s="201"/>
      <c r="J135" s="201">
        <f t="shared" si="55"/>
        <v>0</v>
      </c>
      <c r="K135" s="200">
        <f t="shared" si="52"/>
        <v>0</v>
      </c>
      <c r="L135" s="201">
        <v>0</v>
      </c>
      <c r="M135" s="201">
        <f t="shared" si="56"/>
        <v>0</v>
      </c>
      <c r="N135" s="202">
        <v>0</v>
      </c>
      <c r="O135" s="201">
        <f t="shared" si="57"/>
        <v>0</v>
      </c>
      <c r="P135" s="203">
        <f t="shared" si="58"/>
        <v>0</v>
      </c>
      <c r="Q135" s="201">
        <f t="shared" si="59"/>
        <v>0</v>
      </c>
      <c r="R135" s="284">
        <f t="shared" si="53"/>
        <v>0</v>
      </c>
      <c r="S135" s="204"/>
      <c r="T135" s="204"/>
    </row>
    <row r="136" spans="1:33" hidden="1">
      <c r="A136" s="195"/>
      <c r="B136" s="196" t="s">
        <v>188</v>
      </c>
      <c r="C136" s="143" t="s">
        <v>179</v>
      </c>
      <c r="D136" s="216">
        <v>245</v>
      </c>
      <c r="E136" s="202"/>
      <c r="F136" s="201">
        <f t="shared" si="51"/>
        <v>0</v>
      </c>
      <c r="G136" s="201">
        <v>0</v>
      </c>
      <c r="H136" s="201">
        <f t="shared" si="54"/>
        <v>0</v>
      </c>
      <c r="I136" s="201"/>
      <c r="J136" s="201">
        <f t="shared" si="55"/>
        <v>0</v>
      </c>
      <c r="K136" s="200">
        <f t="shared" si="52"/>
        <v>0</v>
      </c>
      <c r="L136" s="201">
        <v>0</v>
      </c>
      <c r="M136" s="201">
        <f t="shared" si="56"/>
        <v>0</v>
      </c>
      <c r="N136" s="202">
        <v>0</v>
      </c>
      <c r="O136" s="201">
        <f t="shared" si="57"/>
        <v>0</v>
      </c>
      <c r="P136" s="203">
        <f t="shared" si="58"/>
        <v>0</v>
      </c>
      <c r="Q136" s="201">
        <f t="shared" si="59"/>
        <v>0</v>
      </c>
      <c r="R136" s="284">
        <f t="shared" si="53"/>
        <v>0</v>
      </c>
      <c r="S136" s="204"/>
      <c r="T136" s="204"/>
    </row>
    <row r="137" spans="1:33">
      <c r="A137" s="195"/>
      <c r="B137" s="196" t="s">
        <v>134</v>
      </c>
      <c r="C137" s="143" t="s">
        <v>13</v>
      </c>
      <c r="D137" s="233">
        <v>2500</v>
      </c>
      <c r="E137" s="201">
        <f>25*E20</f>
        <v>100</v>
      </c>
      <c r="F137" s="201">
        <f>ROUND(E137*D137,0)</f>
        <v>250000</v>
      </c>
      <c r="G137" s="201">
        <f>18*G20</f>
        <v>0</v>
      </c>
      <c r="H137" s="201">
        <f t="shared" si="54"/>
        <v>0</v>
      </c>
      <c r="I137" s="201"/>
      <c r="J137" s="201">
        <f t="shared" si="55"/>
        <v>0</v>
      </c>
      <c r="K137" s="200">
        <f>J137/$D$2</f>
        <v>0</v>
      </c>
      <c r="L137" s="201">
        <v>0</v>
      </c>
      <c r="M137" s="201">
        <f t="shared" si="56"/>
        <v>0</v>
      </c>
      <c r="N137" s="201">
        <v>0</v>
      </c>
      <c r="O137" s="201">
        <f t="shared" si="57"/>
        <v>0</v>
      </c>
      <c r="P137" s="203">
        <f t="shared" si="58"/>
        <v>100</v>
      </c>
      <c r="Q137" s="201">
        <f t="shared" si="59"/>
        <v>250000</v>
      </c>
      <c r="R137" s="284">
        <f t="shared" ref="R137:R142" si="60">+Q137/DollarLC</f>
        <v>3846.1538461538462</v>
      </c>
      <c r="S137" s="204">
        <f>+D137*E137</f>
        <v>250000</v>
      </c>
      <c r="T137" s="204">
        <f>+S137-F137</f>
        <v>0</v>
      </c>
      <c r="U137" s="160">
        <v>0.3</v>
      </c>
      <c r="V137" s="160">
        <v>0.3</v>
      </c>
      <c r="W137" s="160">
        <v>0.4</v>
      </c>
      <c r="AD137" s="159">
        <f>$R137*U137</f>
        <v>1153.8461538461538</v>
      </c>
      <c r="AE137" s="159">
        <f>$R137*V137</f>
        <v>1153.8461538461538</v>
      </c>
      <c r="AF137" s="159">
        <f>$R137*W137</f>
        <v>1538.4615384615386</v>
      </c>
      <c r="AG137" s="159">
        <f>$R137*X137</f>
        <v>0</v>
      </c>
    </row>
    <row r="138" spans="1:33">
      <c r="A138" s="195"/>
      <c r="B138" s="185" t="s">
        <v>352</v>
      </c>
      <c r="C138" s="143"/>
      <c r="D138" s="216"/>
      <c r="E138" s="202"/>
      <c r="F138" s="201">
        <f t="shared" si="51"/>
        <v>0</v>
      </c>
      <c r="G138" s="201"/>
      <c r="H138" s="201">
        <f t="shared" si="54"/>
        <v>0</v>
      </c>
      <c r="I138" s="201"/>
      <c r="J138" s="201"/>
      <c r="K138" s="200"/>
      <c r="L138" s="201"/>
      <c r="M138" s="201"/>
      <c r="N138" s="202"/>
      <c r="O138" s="201"/>
      <c r="P138" s="203">
        <f t="shared" si="58"/>
        <v>0</v>
      </c>
      <c r="Q138" s="201">
        <f t="shared" si="59"/>
        <v>0</v>
      </c>
      <c r="R138" s="284">
        <f t="shared" si="60"/>
        <v>0</v>
      </c>
      <c r="S138" s="204"/>
      <c r="T138" s="204"/>
    </row>
    <row r="139" spans="1:33">
      <c r="A139" s="195"/>
      <c r="B139" s="196" t="s">
        <v>137</v>
      </c>
      <c r="C139" s="143" t="s">
        <v>179</v>
      </c>
      <c r="D139" s="216">
        <f>Assumptions!D94</f>
        <v>420</v>
      </c>
      <c r="E139" s="202">
        <f>Assumptions!B88</f>
        <v>600</v>
      </c>
      <c r="F139" s="201">
        <f t="shared" si="51"/>
        <v>252000</v>
      </c>
      <c r="G139" s="202">
        <f>Assumptions!B88*P4</f>
        <v>0</v>
      </c>
      <c r="H139" s="201">
        <f t="shared" si="54"/>
        <v>0</v>
      </c>
      <c r="I139" s="201"/>
      <c r="J139" s="201"/>
      <c r="K139" s="200"/>
      <c r="L139" s="201"/>
      <c r="M139" s="201"/>
      <c r="N139" s="202"/>
      <c r="O139" s="201"/>
      <c r="P139" s="203">
        <f t="shared" si="58"/>
        <v>600</v>
      </c>
      <c r="Q139" s="201">
        <f t="shared" si="59"/>
        <v>252000</v>
      </c>
      <c r="R139" s="284">
        <f t="shared" si="60"/>
        <v>3876.9230769230771</v>
      </c>
      <c r="S139" s="204"/>
      <c r="T139" s="204"/>
    </row>
    <row r="140" spans="1:33">
      <c r="A140" s="195"/>
      <c r="B140" s="196" t="s">
        <v>138</v>
      </c>
      <c r="C140" s="143" t="s">
        <v>179</v>
      </c>
      <c r="D140" s="216">
        <v>150</v>
      </c>
      <c r="E140" s="202"/>
      <c r="F140" s="201">
        <f t="shared" si="51"/>
        <v>0</v>
      </c>
      <c r="G140" s="201"/>
      <c r="H140" s="201">
        <f t="shared" si="54"/>
        <v>0</v>
      </c>
      <c r="I140" s="201"/>
      <c r="J140" s="201"/>
      <c r="K140" s="200"/>
      <c r="L140" s="201"/>
      <c r="M140" s="201"/>
      <c r="N140" s="202"/>
      <c r="O140" s="201"/>
      <c r="P140" s="203">
        <f t="shared" si="58"/>
        <v>0</v>
      </c>
      <c r="Q140" s="201">
        <f t="shared" si="59"/>
        <v>0</v>
      </c>
      <c r="R140" s="284">
        <f t="shared" si="60"/>
        <v>0</v>
      </c>
      <c r="S140" s="204"/>
      <c r="T140" s="204"/>
    </row>
    <row r="141" spans="1:33">
      <c r="A141" s="195"/>
      <c r="B141" s="196" t="s">
        <v>139</v>
      </c>
      <c r="C141" s="143" t="s">
        <v>180</v>
      </c>
      <c r="D141" s="216">
        <v>3</v>
      </c>
      <c r="E141" s="202">
        <f>Assumptions!D88*H4</f>
        <v>6000</v>
      </c>
      <c r="F141" s="201">
        <f t="shared" si="51"/>
        <v>18000</v>
      </c>
      <c r="G141" s="202">
        <f>Assumptions!D88*P4</f>
        <v>0</v>
      </c>
      <c r="H141" s="201">
        <f t="shared" si="54"/>
        <v>0</v>
      </c>
      <c r="I141" s="201"/>
      <c r="J141" s="201"/>
      <c r="K141" s="200"/>
      <c r="L141" s="201"/>
      <c r="M141" s="201"/>
      <c r="N141" s="202"/>
      <c r="O141" s="201"/>
      <c r="P141" s="203">
        <f t="shared" si="58"/>
        <v>6000</v>
      </c>
      <c r="Q141" s="201">
        <f t="shared" si="59"/>
        <v>18000</v>
      </c>
      <c r="R141" s="284">
        <f t="shared" si="60"/>
        <v>276.92307692307691</v>
      </c>
      <c r="S141" s="204"/>
      <c r="T141" s="204"/>
    </row>
    <row r="142" spans="1:33">
      <c r="A142" s="195"/>
      <c r="B142" s="196" t="s">
        <v>140</v>
      </c>
      <c r="C142" s="143" t="s">
        <v>179</v>
      </c>
      <c r="D142" s="216">
        <v>250</v>
      </c>
      <c r="E142" s="202"/>
      <c r="F142" s="201">
        <f t="shared" si="51"/>
        <v>0</v>
      </c>
      <c r="G142" s="201"/>
      <c r="H142" s="201">
        <f t="shared" si="54"/>
        <v>0</v>
      </c>
      <c r="I142" s="201"/>
      <c r="J142" s="201"/>
      <c r="K142" s="200"/>
      <c r="L142" s="201"/>
      <c r="M142" s="201"/>
      <c r="N142" s="202"/>
      <c r="O142" s="201"/>
      <c r="P142" s="203">
        <f t="shared" si="58"/>
        <v>0</v>
      </c>
      <c r="Q142" s="201"/>
      <c r="R142" s="284">
        <f t="shared" si="60"/>
        <v>0</v>
      </c>
      <c r="S142" s="204"/>
      <c r="T142" s="204"/>
    </row>
    <row r="143" spans="1:33">
      <c r="A143" s="195"/>
      <c r="B143" s="185" t="s">
        <v>218</v>
      </c>
      <c r="C143" s="143"/>
      <c r="D143" s="216"/>
      <c r="E143" s="202"/>
      <c r="F143" s="201">
        <f t="shared" si="51"/>
        <v>0</v>
      </c>
      <c r="G143" s="201">
        <v>0</v>
      </c>
      <c r="H143" s="201">
        <f t="shared" si="54"/>
        <v>0</v>
      </c>
      <c r="I143" s="201"/>
      <c r="J143" s="201">
        <f t="shared" ref="J143:J159" si="61">ROUND(I143*D143*usinflation_yr3,0)</f>
        <v>0</v>
      </c>
      <c r="K143" s="200">
        <f t="shared" ref="K143:K150" si="62">J143/$D$2</f>
        <v>0</v>
      </c>
      <c r="L143" s="201">
        <v>0</v>
      </c>
      <c r="M143" s="201">
        <f t="shared" ref="M143:M159" si="63">ROUND(L143*D143*usinflation_yr4,0)</f>
        <v>0</v>
      </c>
      <c r="N143" s="202">
        <v>0</v>
      </c>
      <c r="O143" s="201">
        <f t="shared" ref="O143:O159" si="64">ROUND(N143*D143*usinflation_yr5,0)</f>
        <v>0</v>
      </c>
      <c r="P143" s="203">
        <f t="shared" si="58"/>
        <v>0</v>
      </c>
      <c r="Q143" s="201">
        <f t="shared" ref="Q143:Q159" si="65">O143+M143+J143+H143+F143</f>
        <v>0</v>
      </c>
      <c r="R143" s="284">
        <f t="shared" si="53"/>
        <v>0</v>
      </c>
      <c r="S143" s="204"/>
      <c r="T143" s="204"/>
    </row>
    <row r="144" spans="1:33">
      <c r="A144" s="195"/>
      <c r="B144" s="196" t="s">
        <v>145</v>
      </c>
      <c r="C144" s="143" t="s">
        <v>167</v>
      </c>
      <c r="D144" s="216">
        <v>5000</v>
      </c>
      <c r="E144" s="202"/>
      <c r="F144" s="201">
        <f t="shared" ref="F144:F150" si="66">ROUND(E144*D144,0)</f>
        <v>0</v>
      </c>
      <c r="G144" s="201">
        <v>0</v>
      </c>
      <c r="H144" s="201">
        <f t="shared" si="54"/>
        <v>0</v>
      </c>
      <c r="I144" s="201"/>
      <c r="J144" s="201">
        <f t="shared" si="61"/>
        <v>0</v>
      </c>
      <c r="K144" s="200">
        <f t="shared" si="62"/>
        <v>0</v>
      </c>
      <c r="L144" s="201">
        <v>0</v>
      </c>
      <c r="M144" s="201">
        <f t="shared" si="63"/>
        <v>0</v>
      </c>
      <c r="N144" s="202">
        <v>0</v>
      </c>
      <c r="O144" s="201">
        <f t="shared" si="64"/>
        <v>0</v>
      </c>
      <c r="P144" s="203">
        <f t="shared" si="58"/>
        <v>0</v>
      </c>
      <c r="Q144" s="201">
        <f t="shared" si="65"/>
        <v>0</v>
      </c>
      <c r="R144" s="284">
        <f t="shared" si="53"/>
        <v>0</v>
      </c>
      <c r="S144" s="204"/>
      <c r="T144" s="204"/>
    </row>
    <row r="145" spans="1:20">
      <c r="A145" s="195"/>
      <c r="B145" s="196" t="s">
        <v>146</v>
      </c>
      <c r="C145" s="143" t="s">
        <v>179</v>
      </c>
      <c r="D145" s="216">
        <v>150</v>
      </c>
      <c r="E145" s="202"/>
      <c r="F145" s="201">
        <f t="shared" si="66"/>
        <v>0</v>
      </c>
      <c r="G145" s="201">
        <v>0</v>
      </c>
      <c r="H145" s="201">
        <f t="shared" si="54"/>
        <v>0</v>
      </c>
      <c r="I145" s="201"/>
      <c r="J145" s="201">
        <f t="shared" si="61"/>
        <v>0</v>
      </c>
      <c r="K145" s="200">
        <f t="shared" si="62"/>
        <v>0</v>
      </c>
      <c r="L145" s="201">
        <v>0</v>
      </c>
      <c r="M145" s="201">
        <f t="shared" si="63"/>
        <v>0</v>
      </c>
      <c r="N145" s="202">
        <v>0</v>
      </c>
      <c r="O145" s="201">
        <f t="shared" si="64"/>
        <v>0</v>
      </c>
      <c r="P145" s="203">
        <f t="shared" si="58"/>
        <v>0</v>
      </c>
      <c r="Q145" s="201">
        <f t="shared" si="65"/>
        <v>0</v>
      </c>
      <c r="R145" s="284">
        <f t="shared" si="53"/>
        <v>0</v>
      </c>
      <c r="S145" s="204"/>
      <c r="T145" s="204"/>
    </row>
    <row r="146" spans="1:20">
      <c r="A146" s="195"/>
      <c r="B146" s="196" t="s">
        <v>147</v>
      </c>
      <c r="C146" s="143" t="s">
        <v>179</v>
      </c>
      <c r="D146" s="216">
        <v>350</v>
      </c>
      <c r="E146" s="202">
        <f>Assumptions!B69</f>
        <v>120</v>
      </c>
      <c r="F146" s="201">
        <f t="shared" si="66"/>
        <v>42000</v>
      </c>
      <c r="G146" s="201">
        <v>0</v>
      </c>
      <c r="H146" s="201">
        <f t="shared" si="54"/>
        <v>0</v>
      </c>
      <c r="I146" s="201"/>
      <c r="J146" s="201">
        <f t="shared" si="61"/>
        <v>0</v>
      </c>
      <c r="K146" s="200">
        <f t="shared" si="62"/>
        <v>0</v>
      </c>
      <c r="L146" s="201">
        <v>0</v>
      </c>
      <c r="M146" s="201">
        <f t="shared" si="63"/>
        <v>0</v>
      </c>
      <c r="N146" s="202">
        <v>0</v>
      </c>
      <c r="O146" s="201">
        <f t="shared" si="64"/>
        <v>0</v>
      </c>
      <c r="P146" s="203">
        <f t="shared" si="58"/>
        <v>120</v>
      </c>
      <c r="Q146" s="201">
        <f t="shared" si="65"/>
        <v>42000</v>
      </c>
      <c r="R146" s="284">
        <f t="shared" si="53"/>
        <v>646.15384615384619</v>
      </c>
      <c r="S146" s="204"/>
      <c r="T146" s="204"/>
    </row>
    <row r="147" spans="1:20">
      <c r="A147" s="195"/>
      <c r="B147" s="196" t="s">
        <v>189</v>
      </c>
      <c r="C147" s="143" t="s">
        <v>190</v>
      </c>
      <c r="D147" s="216">
        <v>250</v>
      </c>
      <c r="E147" s="202"/>
      <c r="F147" s="201">
        <f t="shared" si="66"/>
        <v>0</v>
      </c>
      <c r="G147" s="201">
        <v>0</v>
      </c>
      <c r="H147" s="201">
        <f t="shared" si="54"/>
        <v>0</v>
      </c>
      <c r="I147" s="201"/>
      <c r="J147" s="201">
        <f t="shared" si="61"/>
        <v>0</v>
      </c>
      <c r="K147" s="200">
        <f t="shared" si="62"/>
        <v>0</v>
      </c>
      <c r="L147" s="201">
        <v>0</v>
      </c>
      <c r="M147" s="201">
        <f t="shared" si="63"/>
        <v>0</v>
      </c>
      <c r="N147" s="202">
        <v>0</v>
      </c>
      <c r="O147" s="201">
        <f t="shared" si="64"/>
        <v>0</v>
      </c>
      <c r="P147" s="203">
        <f t="shared" si="58"/>
        <v>0</v>
      </c>
      <c r="Q147" s="201">
        <f t="shared" si="65"/>
        <v>0</v>
      </c>
      <c r="R147" s="284">
        <f t="shared" si="53"/>
        <v>0</v>
      </c>
      <c r="S147" s="204"/>
      <c r="T147" s="204"/>
    </row>
    <row r="148" spans="1:20">
      <c r="A148" s="195"/>
      <c r="B148" s="196" t="s">
        <v>148</v>
      </c>
      <c r="C148" s="143" t="s">
        <v>179</v>
      </c>
      <c r="D148" s="216">
        <v>50</v>
      </c>
      <c r="E148" s="202"/>
      <c r="F148" s="201">
        <f t="shared" si="66"/>
        <v>0</v>
      </c>
      <c r="G148" s="201">
        <v>0</v>
      </c>
      <c r="H148" s="201">
        <f t="shared" si="54"/>
        <v>0</v>
      </c>
      <c r="I148" s="201"/>
      <c r="J148" s="201">
        <f t="shared" si="61"/>
        <v>0</v>
      </c>
      <c r="K148" s="200">
        <f t="shared" si="62"/>
        <v>0</v>
      </c>
      <c r="L148" s="201">
        <v>0</v>
      </c>
      <c r="M148" s="201">
        <f t="shared" si="63"/>
        <v>0</v>
      </c>
      <c r="N148" s="202">
        <v>0</v>
      </c>
      <c r="O148" s="201">
        <f t="shared" si="64"/>
        <v>0</v>
      </c>
      <c r="P148" s="203">
        <f t="shared" si="58"/>
        <v>0</v>
      </c>
      <c r="Q148" s="201">
        <f t="shared" si="65"/>
        <v>0</v>
      </c>
      <c r="R148" s="284">
        <f t="shared" si="53"/>
        <v>0</v>
      </c>
      <c r="S148" s="204"/>
      <c r="T148" s="204"/>
    </row>
    <row r="149" spans="1:20">
      <c r="A149" s="195"/>
      <c r="B149" s="196" t="s">
        <v>149</v>
      </c>
      <c r="C149" s="143" t="s">
        <v>168</v>
      </c>
      <c r="D149" s="216"/>
      <c r="E149" s="202"/>
      <c r="F149" s="201">
        <f t="shared" si="66"/>
        <v>0</v>
      </c>
      <c r="G149" s="201">
        <v>0</v>
      </c>
      <c r="H149" s="201">
        <f t="shared" si="54"/>
        <v>0</v>
      </c>
      <c r="I149" s="201"/>
      <c r="J149" s="201">
        <f t="shared" si="61"/>
        <v>0</v>
      </c>
      <c r="K149" s="200">
        <f t="shared" si="62"/>
        <v>0</v>
      </c>
      <c r="L149" s="201">
        <v>0</v>
      </c>
      <c r="M149" s="201">
        <f t="shared" si="63"/>
        <v>0</v>
      </c>
      <c r="N149" s="202">
        <v>0</v>
      </c>
      <c r="O149" s="201">
        <f t="shared" si="64"/>
        <v>0</v>
      </c>
      <c r="P149" s="203">
        <f t="shared" si="58"/>
        <v>0</v>
      </c>
      <c r="Q149" s="201">
        <f t="shared" si="65"/>
        <v>0</v>
      </c>
      <c r="R149" s="284">
        <f t="shared" si="53"/>
        <v>0</v>
      </c>
      <c r="S149" s="204"/>
      <c r="T149" s="204"/>
    </row>
    <row r="150" spans="1:20" ht="27.6">
      <c r="A150" s="195"/>
      <c r="B150" s="196" t="s">
        <v>150</v>
      </c>
      <c r="C150" s="143" t="s">
        <v>168</v>
      </c>
      <c r="D150" s="216"/>
      <c r="E150" s="202"/>
      <c r="F150" s="201">
        <f t="shared" si="66"/>
        <v>0</v>
      </c>
      <c r="G150" s="201">
        <v>0</v>
      </c>
      <c r="H150" s="201">
        <f t="shared" si="54"/>
        <v>0</v>
      </c>
      <c r="I150" s="201"/>
      <c r="J150" s="201">
        <f t="shared" si="61"/>
        <v>0</v>
      </c>
      <c r="K150" s="200">
        <f t="shared" si="62"/>
        <v>0</v>
      </c>
      <c r="L150" s="201">
        <v>0</v>
      </c>
      <c r="M150" s="201">
        <f t="shared" si="63"/>
        <v>0</v>
      </c>
      <c r="N150" s="202">
        <v>0</v>
      </c>
      <c r="O150" s="201">
        <f t="shared" si="64"/>
        <v>0</v>
      </c>
      <c r="P150" s="203">
        <f t="shared" si="58"/>
        <v>0</v>
      </c>
      <c r="Q150" s="201">
        <f t="shared" si="65"/>
        <v>0</v>
      </c>
      <c r="R150" s="284">
        <f t="shared" si="53"/>
        <v>0</v>
      </c>
      <c r="S150" s="204"/>
      <c r="T150" s="204"/>
    </row>
    <row r="151" spans="1:20">
      <c r="A151" s="195"/>
      <c r="B151" s="185" t="s">
        <v>227</v>
      </c>
      <c r="C151" s="143"/>
      <c r="D151" s="216"/>
      <c r="E151" s="202"/>
      <c r="F151" s="201">
        <f t="shared" ref="F151:F158" si="67">ROUND(E151*D151,0)</f>
        <v>0</v>
      </c>
      <c r="G151" s="201">
        <v>0</v>
      </c>
      <c r="H151" s="201">
        <f t="shared" si="54"/>
        <v>0</v>
      </c>
      <c r="I151" s="201"/>
      <c r="J151" s="201">
        <f t="shared" si="61"/>
        <v>0</v>
      </c>
      <c r="K151" s="200">
        <f t="shared" ref="K151:K158" si="68">J151/$D$2</f>
        <v>0</v>
      </c>
      <c r="L151" s="201">
        <v>0</v>
      </c>
      <c r="M151" s="201">
        <f t="shared" si="63"/>
        <v>0</v>
      </c>
      <c r="N151" s="202">
        <v>0</v>
      </c>
      <c r="O151" s="201">
        <f t="shared" si="64"/>
        <v>0</v>
      </c>
      <c r="P151" s="203">
        <f t="shared" si="58"/>
        <v>0</v>
      </c>
      <c r="Q151" s="201">
        <f t="shared" si="65"/>
        <v>0</v>
      </c>
      <c r="R151" s="284">
        <f t="shared" ref="R151:R158" si="69">+Q151/DollarLC</f>
        <v>0</v>
      </c>
      <c r="S151" s="204"/>
      <c r="T151" s="204"/>
    </row>
    <row r="152" spans="1:20">
      <c r="A152" s="195"/>
      <c r="B152" s="196" t="s">
        <v>145</v>
      </c>
      <c r="C152" s="143" t="s">
        <v>167</v>
      </c>
      <c r="D152" s="216">
        <v>5000</v>
      </c>
      <c r="E152" s="202"/>
      <c r="F152" s="201">
        <f t="shared" si="67"/>
        <v>0</v>
      </c>
      <c r="G152" s="201">
        <v>0</v>
      </c>
      <c r="H152" s="201">
        <f t="shared" si="54"/>
        <v>0</v>
      </c>
      <c r="I152" s="201"/>
      <c r="J152" s="201">
        <f t="shared" si="61"/>
        <v>0</v>
      </c>
      <c r="K152" s="200">
        <f t="shared" si="68"/>
        <v>0</v>
      </c>
      <c r="L152" s="201">
        <v>0</v>
      </c>
      <c r="M152" s="201">
        <f t="shared" si="63"/>
        <v>0</v>
      </c>
      <c r="N152" s="202">
        <v>0</v>
      </c>
      <c r="O152" s="201">
        <f t="shared" si="64"/>
        <v>0</v>
      </c>
      <c r="P152" s="203">
        <f t="shared" si="58"/>
        <v>0</v>
      </c>
      <c r="Q152" s="201">
        <f t="shared" si="65"/>
        <v>0</v>
      </c>
      <c r="R152" s="284">
        <f t="shared" si="69"/>
        <v>0</v>
      </c>
      <c r="S152" s="204"/>
      <c r="T152" s="204"/>
    </row>
    <row r="153" spans="1:20">
      <c r="A153" s="195"/>
      <c r="B153" s="196" t="s">
        <v>146</v>
      </c>
      <c r="C153" s="143" t="s">
        <v>179</v>
      </c>
      <c r="D153" s="216">
        <v>300</v>
      </c>
      <c r="E153" s="202"/>
      <c r="F153" s="201">
        <f t="shared" si="67"/>
        <v>0</v>
      </c>
      <c r="G153" s="201">
        <v>0</v>
      </c>
      <c r="H153" s="201">
        <f t="shared" ref="H153:H184" si="70">ROUND(G153*D153*usinflation_yr2,0)</f>
        <v>0</v>
      </c>
      <c r="I153" s="201"/>
      <c r="J153" s="201">
        <f t="shared" si="61"/>
        <v>0</v>
      </c>
      <c r="K153" s="200">
        <f t="shared" si="68"/>
        <v>0</v>
      </c>
      <c r="L153" s="201">
        <v>0</v>
      </c>
      <c r="M153" s="201">
        <f t="shared" si="63"/>
        <v>0</v>
      </c>
      <c r="N153" s="202">
        <v>0</v>
      </c>
      <c r="O153" s="201">
        <f t="shared" si="64"/>
        <v>0</v>
      </c>
      <c r="P153" s="203">
        <f t="shared" ref="P153:P159" si="71">E153+G153+I153+L153+N153</f>
        <v>0</v>
      </c>
      <c r="Q153" s="201">
        <f t="shared" si="65"/>
        <v>0</v>
      </c>
      <c r="R153" s="284">
        <f t="shared" si="69"/>
        <v>0</v>
      </c>
      <c r="S153" s="204"/>
      <c r="T153" s="204"/>
    </row>
    <row r="154" spans="1:20">
      <c r="A154" s="195"/>
      <c r="B154" s="196" t="s">
        <v>147</v>
      </c>
      <c r="C154" s="143" t="s">
        <v>179</v>
      </c>
      <c r="D154" s="216">
        <v>700</v>
      </c>
      <c r="E154" s="202"/>
      <c r="F154" s="201">
        <f t="shared" si="67"/>
        <v>0</v>
      </c>
      <c r="G154" s="201">
        <v>0</v>
      </c>
      <c r="H154" s="201">
        <f t="shared" si="70"/>
        <v>0</v>
      </c>
      <c r="I154" s="201"/>
      <c r="J154" s="201">
        <f t="shared" si="61"/>
        <v>0</v>
      </c>
      <c r="K154" s="200">
        <f t="shared" si="68"/>
        <v>0</v>
      </c>
      <c r="L154" s="201">
        <v>0</v>
      </c>
      <c r="M154" s="201">
        <f t="shared" si="63"/>
        <v>0</v>
      </c>
      <c r="N154" s="202">
        <v>0</v>
      </c>
      <c r="O154" s="201">
        <f t="shared" si="64"/>
        <v>0</v>
      </c>
      <c r="P154" s="203">
        <f t="shared" si="71"/>
        <v>0</v>
      </c>
      <c r="Q154" s="201">
        <f t="shared" si="65"/>
        <v>0</v>
      </c>
      <c r="R154" s="284">
        <f t="shared" si="69"/>
        <v>0</v>
      </c>
      <c r="S154" s="204"/>
      <c r="T154" s="204"/>
    </row>
    <row r="155" spans="1:20">
      <c r="A155" s="195"/>
      <c r="B155" s="196" t="s">
        <v>189</v>
      </c>
      <c r="C155" s="143" t="s">
        <v>190</v>
      </c>
      <c r="D155" s="216">
        <v>1000</v>
      </c>
      <c r="E155" s="202"/>
      <c r="F155" s="201">
        <f t="shared" si="67"/>
        <v>0</v>
      </c>
      <c r="G155" s="201">
        <v>0</v>
      </c>
      <c r="H155" s="201">
        <f t="shared" si="70"/>
        <v>0</v>
      </c>
      <c r="I155" s="201"/>
      <c r="J155" s="201">
        <f t="shared" si="61"/>
        <v>0</v>
      </c>
      <c r="K155" s="200">
        <f t="shared" si="68"/>
        <v>0</v>
      </c>
      <c r="L155" s="201">
        <v>0</v>
      </c>
      <c r="M155" s="201">
        <f t="shared" si="63"/>
        <v>0</v>
      </c>
      <c r="N155" s="202">
        <v>0</v>
      </c>
      <c r="O155" s="201">
        <f t="shared" si="64"/>
        <v>0</v>
      </c>
      <c r="P155" s="203">
        <f t="shared" si="71"/>
        <v>0</v>
      </c>
      <c r="Q155" s="201">
        <f t="shared" si="65"/>
        <v>0</v>
      </c>
      <c r="R155" s="284">
        <f t="shared" si="69"/>
        <v>0</v>
      </c>
      <c r="S155" s="204"/>
      <c r="T155" s="204"/>
    </row>
    <row r="156" spans="1:20">
      <c r="A156" s="195"/>
      <c r="B156" s="196" t="s">
        <v>148</v>
      </c>
      <c r="C156" s="143" t="s">
        <v>179</v>
      </c>
      <c r="D156" s="216">
        <v>100</v>
      </c>
      <c r="E156" s="202"/>
      <c r="F156" s="201">
        <f t="shared" si="67"/>
        <v>0</v>
      </c>
      <c r="G156" s="201">
        <v>0</v>
      </c>
      <c r="H156" s="201">
        <f t="shared" si="70"/>
        <v>0</v>
      </c>
      <c r="I156" s="201"/>
      <c r="J156" s="201">
        <f t="shared" si="61"/>
        <v>0</v>
      </c>
      <c r="K156" s="200">
        <f t="shared" si="68"/>
        <v>0</v>
      </c>
      <c r="L156" s="201">
        <v>0</v>
      </c>
      <c r="M156" s="201">
        <f t="shared" si="63"/>
        <v>0</v>
      </c>
      <c r="N156" s="202">
        <v>0</v>
      </c>
      <c r="O156" s="201">
        <f t="shared" si="64"/>
        <v>0</v>
      </c>
      <c r="P156" s="203">
        <f t="shared" si="71"/>
        <v>0</v>
      </c>
      <c r="Q156" s="201">
        <f t="shared" si="65"/>
        <v>0</v>
      </c>
      <c r="R156" s="284">
        <f t="shared" si="69"/>
        <v>0</v>
      </c>
      <c r="S156" s="204"/>
      <c r="T156" s="204"/>
    </row>
    <row r="157" spans="1:20">
      <c r="A157" s="195"/>
      <c r="B157" s="196" t="s">
        <v>149</v>
      </c>
      <c r="C157" s="143" t="s">
        <v>168</v>
      </c>
      <c r="D157" s="216">
        <v>60</v>
      </c>
      <c r="E157" s="202"/>
      <c r="F157" s="201">
        <f t="shared" si="67"/>
        <v>0</v>
      </c>
      <c r="G157" s="201">
        <v>0</v>
      </c>
      <c r="H157" s="201">
        <f t="shared" si="70"/>
        <v>0</v>
      </c>
      <c r="I157" s="201"/>
      <c r="J157" s="201">
        <f t="shared" si="61"/>
        <v>0</v>
      </c>
      <c r="K157" s="200">
        <f t="shared" si="68"/>
        <v>0</v>
      </c>
      <c r="L157" s="201">
        <v>0</v>
      </c>
      <c r="M157" s="201">
        <f t="shared" si="63"/>
        <v>0</v>
      </c>
      <c r="N157" s="202">
        <v>0</v>
      </c>
      <c r="O157" s="201">
        <f t="shared" si="64"/>
        <v>0</v>
      </c>
      <c r="P157" s="203">
        <f t="shared" si="71"/>
        <v>0</v>
      </c>
      <c r="Q157" s="201">
        <f t="shared" si="65"/>
        <v>0</v>
      </c>
      <c r="R157" s="284">
        <f t="shared" si="69"/>
        <v>0</v>
      </c>
      <c r="S157" s="204"/>
      <c r="T157" s="204"/>
    </row>
    <row r="158" spans="1:20" ht="27.6">
      <c r="A158" s="195"/>
      <c r="B158" s="196" t="s">
        <v>150</v>
      </c>
      <c r="C158" s="143" t="s">
        <v>168</v>
      </c>
      <c r="D158" s="216"/>
      <c r="E158" s="202"/>
      <c r="F158" s="201">
        <f t="shared" si="67"/>
        <v>0</v>
      </c>
      <c r="G158" s="201">
        <v>0</v>
      </c>
      <c r="H158" s="201">
        <f t="shared" si="70"/>
        <v>0</v>
      </c>
      <c r="I158" s="201"/>
      <c r="J158" s="201">
        <f t="shared" si="61"/>
        <v>0</v>
      </c>
      <c r="K158" s="200">
        <f t="shared" si="68"/>
        <v>0</v>
      </c>
      <c r="L158" s="201">
        <v>0</v>
      </c>
      <c r="M158" s="201">
        <f t="shared" si="63"/>
        <v>0</v>
      </c>
      <c r="N158" s="202">
        <v>0</v>
      </c>
      <c r="O158" s="201">
        <f t="shared" si="64"/>
        <v>0</v>
      </c>
      <c r="P158" s="203">
        <f t="shared" si="71"/>
        <v>0</v>
      </c>
      <c r="Q158" s="201">
        <f t="shared" si="65"/>
        <v>0</v>
      </c>
      <c r="R158" s="284">
        <f t="shared" si="69"/>
        <v>0</v>
      </c>
      <c r="S158" s="204"/>
      <c r="T158" s="204"/>
    </row>
    <row r="159" spans="1:20">
      <c r="A159" s="195"/>
      <c r="B159" s="185" t="s">
        <v>191</v>
      </c>
      <c r="C159" s="143" t="s">
        <v>219</v>
      </c>
      <c r="D159" s="216">
        <v>1</v>
      </c>
      <c r="E159" s="202">
        <f>Assumptions!F9*1.1*H4</f>
        <v>25965.500000000004</v>
      </c>
      <c r="F159" s="201">
        <f>ROUND(E159*D159,0)</f>
        <v>25966</v>
      </c>
      <c r="G159" s="202">
        <f>Assumptions!F9*1.1*P4</f>
        <v>0</v>
      </c>
      <c r="H159" s="201">
        <f t="shared" si="70"/>
        <v>0</v>
      </c>
      <c r="I159" s="201"/>
      <c r="J159" s="201">
        <f t="shared" si="61"/>
        <v>0</v>
      </c>
      <c r="K159" s="200">
        <f t="shared" ref="K159:K173" si="72">J159/$D$2</f>
        <v>0</v>
      </c>
      <c r="L159" s="201">
        <v>0</v>
      </c>
      <c r="M159" s="201">
        <f t="shared" si="63"/>
        <v>0</v>
      </c>
      <c r="N159" s="202">
        <v>0</v>
      </c>
      <c r="O159" s="201">
        <f t="shared" si="64"/>
        <v>0</v>
      </c>
      <c r="P159" s="203">
        <f t="shared" si="71"/>
        <v>25965.500000000004</v>
      </c>
      <c r="Q159" s="201">
        <f t="shared" si="65"/>
        <v>25966</v>
      </c>
      <c r="R159" s="284">
        <f>+Q159/DollarLC</f>
        <v>399.47692307692307</v>
      </c>
      <c r="S159" s="204"/>
      <c r="T159" s="204"/>
    </row>
    <row r="160" spans="1:20">
      <c r="A160" s="195"/>
      <c r="B160" s="185" t="s">
        <v>154</v>
      </c>
      <c r="C160" s="143"/>
      <c r="D160" s="216"/>
      <c r="E160" s="202"/>
      <c r="F160" s="201"/>
      <c r="G160" s="201">
        <v>0</v>
      </c>
      <c r="H160" s="201"/>
      <c r="I160" s="201"/>
      <c r="J160" s="201"/>
      <c r="K160" s="200">
        <f t="shared" si="72"/>
        <v>0</v>
      </c>
      <c r="L160" s="201"/>
      <c r="M160" s="201"/>
      <c r="N160" s="202"/>
      <c r="O160" s="201"/>
      <c r="P160" s="203"/>
      <c r="Q160" s="201"/>
      <c r="R160" s="284"/>
      <c r="S160" s="204"/>
      <c r="T160" s="204"/>
    </row>
    <row r="161" spans="1:253">
      <c r="A161" s="195"/>
      <c r="B161" s="196" t="s">
        <v>151</v>
      </c>
      <c r="C161" s="143" t="s">
        <v>219</v>
      </c>
      <c r="D161" s="236">
        <v>4</v>
      </c>
      <c r="E161" s="202">
        <f>Assumptions!F9*1.1*H4</f>
        <v>25965.500000000004</v>
      </c>
      <c r="F161" s="201">
        <f t="shared" ref="F161:F173" si="73">ROUND(E161*D161,0)</f>
        <v>103862</v>
      </c>
      <c r="G161" s="202">
        <f>Assumptions!F9*1.1*P4</f>
        <v>0</v>
      </c>
      <c r="H161" s="201">
        <f>ROUND(G161*D161*usinflation_yr2,0)</f>
        <v>0</v>
      </c>
      <c r="I161" s="201"/>
      <c r="J161" s="201">
        <f>ROUND(I161*D161*usinflation_yr3,0)</f>
        <v>0</v>
      </c>
      <c r="K161" s="200">
        <f t="shared" si="72"/>
        <v>0</v>
      </c>
      <c r="L161" s="201">
        <v>0</v>
      </c>
      <c r="M161" s="201">
        <f>ROUND(L161*D161*usinflation_yr4,0)</f>
        <v>0</v>
      </c>
      <c r="N161" s="202">
        <v>0</v>
      </c>
      <c r="O161" s="201">
        <f>ROUND(N161*D161*usinflation_yr5,0)</f>
        <v>0</v>
      </c>
      <c r="P161" s="203">
        <f>E161+G161+I161+L161+N161</f>
        <v>25965.500000000004</v>
      </c>
      <c r="Q161" s="201">
        <f>O161+M161+J161+H161+F161</f>
        <v>103862</v>
      </c>
      <c r="R161" s="284">
        <f>+Q161/DollarLC</f>
        <v>1597.876923076923</v>
      </c>
      <c r="S161" s="204"/>
      <c r="T161" s="204"/>
    </row>
    <row r="162" spans="1:253">
      <c r="A162" s="195"/>
      <c r="B162" s="196" t="s">
        <v>152</v>
      </c>
      <c r="C162" s="143" t="s">
        <v>169</v>
      </c>
      <c r="D162" s="216"/>
      <c r="E162" s="202"/>
      <c r="F162" s="201">
        <f t="shared" si="73"/>
        <v>0</v>
      </c>
      <c r="G162" s="201">
        <v>0</v>
      </c>
      <c r="H162" s="201">
        <f>ROUND(G162*D162*usinflation_yr2,0)</f>
        <v>0</v>
      </c>
      <c r="I162" s="201"/>
      <c r="J162" s="201">
        <f>ROUND(I162*D162*usinflation_yr3,0)</f>
        <v>0</v>
      </c>
      <c r="K162" s="200">
        <f t="shared" si="72"/>
        <v>0</v>
      </c>
      <c r="L162" s="201">
        <v>0</v>
      </c>
      <c r="M162" s="201">
        <f>ROUND(L162*D162*usinflation_yr4,0)</f>
        <v>0</v>
      </c>
      <c r="N162" s="202">
        <v>0</v>
      </c>
      <c r="O162" s="201">
        <f>ROUND(N162*D162*usinflation_yr5,0)</f>
        <v>0</v>
      </c>
      <c r="P162" s="203">
        <f>E162+G162+I162+L162+N162</f>
        <v>0</v>
      </c>
      <c r="Q162" s="201">
        <f>O162+M162+J162+H162+F162</f>
        <v>0</v>
      </c>
      <c r="R162" s="284">
        <f t="shared" ref="R162:R173" si="74">+Q162/DollarLC</f>
        <v>0</v>
      </c>
      <c r="S162" s="204"/>
      <c r="T162" s="204"/>
    </row>
    <row r="163" spans="1:253" ht="27.6">
      <c r="A163" s="195"/>
      <c r="B163" s="196" t="s">
        <v>153</v>
      </c>
      <c r="C163" s="143" t="s">
        <v>169</v>
      </c>
      <c r="D163" s="216"/>
      <c r="E163" s="202"/>
      <c r="F163" s="201">
        <f t="shared" si="73"/>
        <v>0</v>
      </c>
      <c r="G163" s="201">
        <v>0</v>
      </c>
      <c r="H163" s="201">
        <f>ROUND(G163*D163*usinflation_yr2,0)</f>
        <v>0</v>
      </c>
      <c r="I163" s="201"/>
      <c r="J163" s="201">
        <f>ROUND(I163*D163*usinflation_yr3,0)</f>
        <v>0</v>
      </c>
      <c r="K163" s="200">
        <f t="shared" si="72"/>
        <v>0</v>
      </c>
      <c r="L163" s="201">
        <v>0</v>
      </c>
      <c r="M163" s="201">
        <f>ROUND(L163*D163*usinflation_yr4,0)</f>
        <v>0</v>
      </c>
      <c r="N163" s="202">
        <v>0</v>
      </c>
      <c r="O163" s="201">
        <f>ROUND(N163*D163*usinflation_yr5,0)</f>
        <v>0</v>
      </c>
      <c r="P163" s="203">
        <f>E163+G163+I163+L163+N163</f>
        <v>0</v>
      </c>
      <c r="Q163" s="201">
        <f>O163+M163+J163+H163+F163</f>
        <v>0</v>
      </c>
      <c r="R163" s="284">
        <f t="shared" si="74"/>
        <v>0</v>
      </c>
      <c r="S163" s="204"/>
      <c r="T163" s="204"/>
    </row>
    <row r="164" spans="1:253" ht="27.6" hidden="1">
      <c r="A164" s="195"/>
      <c r="B164" s="185" t="s">
        <v>155</v>
      </c>
      <c r="C164" s="143"/>
      <c r="D164" s="216"/>
      <c r="E164" s="202"/>
      <c r="F164" s="201"/>
      <c r="G164" s="201">
        <v>0</v>
      </c>
      <c r="H164" s="201"/>
      <c r="I164" s="201"/>
      <c r="J164" s="201"/>
      <c r="K164" s="200">
        <f t="shared" si="72"/>
        <v>0</v>
      </c>
      <c r="L164" s="201"/>
      <c r="M164" s="201"/>
      <c r="N164" s="202"/>
      <c r="O164" s="201"/>
      <c r="P164" s="203"/>
      <c r="Q164" s="201"/>
      <c r="R164" s="284"/>
      <c r="S164" s="204"/>
      <c r="T164" s="204"/>
    </row>
    <row r="165" spans="1:253" hidden="1">
      <c r="A165" s="195"/>
      <c r="B165" s="196" t="s">
        <v>156</v>
      </c>
      <c r="C165" s="143" t="s">
        <v>169</v>
      </c>
      <c r="D165" s="216"/>
      <c r="E165" s="202"/>
      <c r="F165" s="201">
        <f t="shared" si="73"/>
        <v>0</v>
      </c>
      <c r="G165" s="201">
        <v>0</v>
      </c>
      <c r="H165" s="201">
        <f t="shared" ref="H165:H173" si="75">ROUND(G165*D165*usinflation_yr2,0)</f>
        <v>0</v>
      </c>
      <c r="I165" s="201"/>
      <c r="J165" s="201">
        <f t="shared" ref="J165:J173" si="76">ROUND(I165*D165*usinflation_yr3,0)</f>
        <v>0</v>
      </c>
      <c r="K165" s="200">
        <f t="shared" si="72"/>
        <v>0</v>
      </c>
      <c r="L165" s="201">
        <v>0</v>
      </c>
      <c r="M165" s="201">
        <f t="shared" ref="M165:M173" si="77">ROUND(L165*D165*usinflation_yr4,0)</f>
        <v>0</v>
      </c>
      <c r="N165" s="202">
        <v>0</v>
      </c>
      <c r="O165" s="201">
        <f t="shared" ref="O165:O173" si="78">ROUND(N165*D165*usinflation_yr5,0)</f>
        <v>0</v>
      </c>
      <c r="P165" s="203">
        <f t="shared" ref="P165:P173" si="79">E165+G165+I165+L165+N165</f>
        <v>0</v>
      </c>
      <c r="Q165" s="201">
        <f t="shared" ref="Q165:Q174" si="80">O165+M165+J165+H165+F165</f>
        <v>0</v>
      </c>
      <c r="R165" s="284">
        <f t="shared" si="74"/>
        <v>0</v>
      </c>
      <c r="S165" s="204"/>
      <c r="T165" s="204"/>
    </row>
    <row r="166" spans="1:253" ht="27.6" hidden="1">
      <c r="A166" s="195"/>
      <c r="B166" s="196" t="s">
        <v>157</v>
      </c>
      <c r="C166" s="143" t="s">
        <v>169</v>
      </c>
      <c r="D166" s="216"/>
      <c r="E166" s="202"/>
      <c r="F166" s="201">
        <f t="shared" si="73"/>
        <v>0</v>
      </c>
      <c r="G166" s="201">
        <v>0</v>
      </c>
      <c r="H166" s="201">
        <f t="shared" si="75"/>
        <v>0</v>
      </c>
      <c r="I166" s="201"/>
      <c r="J166" s="201">
        <f t="shared" si="76"/>
        <v>0</v>
      </c>
      <c r="K166" s="200">
        <f t="shared" si="72"/>
        <v>0</v>
      </c>
      <c r="L166" s="201">
        <v>0</v>
      </c>
      <c r="M166" s="201">
        <f t="shared" si="77"/>
        <v>0</v>
      </c>
      <c r="N166" s="202">
        <v>0</v>
      </c>
      <c r="O166" s="201">
        <f t="shared" si="78"/>
        <v>0</v>
      </c>
      <c r="P166" s="203">
        <f t="shared" si="79"/>
        <v>0</v>
      </c>
      <c r="Q166" s="201">
        <f t="shared" si="80"/>
        <v>0</v>
      </c>
      <c r="R166" s="284">
        <f t="shared" si="74"/>
        <v>0</v>
      </c>
      <c r="S166" s="204"/>
      <c r="T166" s="204"/>
    </row>
    <row r="167" spans="1:253" hidden="1">
      <c r="A167" s="195"/>
      <c r="B167" s="196" t="s">
        <v>158</v>
      </c>
      <c r="C167" s="143" t="s">
        <v>169</v>
      </c>
      <c r="D167" s="216"/>
      <c r="E167" s="202"/>
      <c r="F167" s="201">
        <f t="shared" si="73"/>
        <v>0</v>
      </c>
      <c r="G167" s="201">
        <v>0</v>
      </c>
      <c r="H167" s="201">
        <f t="shared" si="75"/>
        <v>0</v>
      </c>
      <c r="I167" s="201"/>
      <c r="J167" s="201">
        <f t="shared" si="76"/>
        <v>0</v>
      </c>
      <c r="K167" s="200">
        <f t="shared" si="72"/>
        <v>0</v>
      </c>
      <c r="L167" s="201">
        <v>0</v>
      </c>
      <c r="M167" s="201">
        <f t="shared" si="77"/>
        <v>0</v>
      </c>
      <c r="N167" s="202">
        <v>0</v>
      </c>
      <c r="O167" s="201">
        <f t="shared" si="78"/>
        <v>0</v>
      </c>
      <c r="P167" s="203">
        <f t="shared" si="79"/>
        <v>0</v>
      </c>
      <c r="Q167" s="201">
        <f t="shared" si="80"/>
        <v>0</v>
      </c>
      <c r="R167" s="284">
        <f t="shared" si="74"/>
        <v>0</v>
      </c>
      <c r="S167" s="204"/>
      <c r="T167" s="204"/>
    </row>
    <row r="168" spans="1:253" hidden="1">
      <c r="A168" s="195"/>
      <c r="B168" s="196" t="s">
        <v>292</v>
      </c>
      <c r="C168" s="143" t="s">
        <v>293</v>
      </c>
      <c r="D168" s="216">
        <v>5000</v>
      </c>
      <c r="E168" s="202"/>
      <c r="F168" s="201">
        <f t="shared" si="73"/>
        <v>0</v>
      </c>
      <c r="G168" s="201">
        <v>0</v>
      </c>
      <c r="H168" s="201">
        <f t="shared" si="75"/>
        <v>0</v>
      </c>
      <c r="I168" s="201"/>
      <c r="J168" s="201">
        <f t="shared" si="76"/>
        <v>0</v>
      </c>
      <c r="K168" s="200">
        <f t="shared" si="72"/>
        <v>0</v>
      </c>
      <c r="L168" s="201">
        <v>0</v>
      </c>
      <c r="M168" s="201">
        <f t="shared" si="77"/>
        <v>0</v>
      </c>
      <c r="N168" s="202">
        <v>0</v>
      </c>
      <c r="O168" s="201">
        <f t="shared" si="78"/>
        <v>0</v>
      </c>
      <c r="P168" s="203">
        <f t="shared" si="79"/>
        <v>0</v>
      </c>
      <c r="Q168" s="201">
        <f t="shared" si="80"/>
        <v>0</v>
      </c>
      <c r="R168" s="284">
        <f t="shared" si="74"/>
        <v>0</v>
      </c>
      <c r="S168" s="204"/>
      <c r="T168" s="204"/>
    </row>
    <row r="169" spans="1:253" hidden="1">
      <c r="A169" s="195"/>
      <c r="B169" s="196" t="s">
        <v>159</v>
      </c>
      <c r="C169" s="143" t="s">
        <v>169</v>
      </c>
      <c r="D169" s="216">
        <v>0</v>
      </c>
      <c r="E169" s="202"/>
      <c r="F169" s="201">
        <f t="shared" si="73"/>
        <v>0</v>
      </c>
      <c r="G169" s="201">
        <v>0</v>
      </c>
      <c r="H169" s="201">
        <f t="shared" si="75"/>
        <v>0</v>
      </c>
      <c r="I169" s="201"/>
      <c r="J169" s="201">
        <f t="shared" si="76"/>
        <v>0</v>
      </c>
      <c r="K169" s="200">
        <f t="shared" si="72"/>
        <v>0</v>
      </c>
      <c r="L169" s="201">
        <v>0</v>
      </c>
      <c r="M169" s="201">
        <f t="shared" si="77"/>
        <v>0</v>
      </c>
      <c r="N169" s="202">
        <v>0</v>
      </c>
      <c r="O169" s="201">
        <f t="shared" si="78"/>
        <v>0</v>
      </c>
      <c r="P169" s="203">
        <f t="shared" si="79"/>
        <v>0</v>
      </c>
      <c r="Q169" s="201">
        <f t="shared" si="80"/>
        <v>0</v>
      </c>
      <c r="R169" s="284">
        <f t="shared" si="74"/>
        <v>0</v>
      </c>
      <c r="S169" s="204"/>
      <c r="T169" s="204"/>
    </row>
    <row r="170" spans="1:253" hidden="1">
      <c r="A170" s="195"/>
      <c r="B170" s="196" t="s">
        <v>229</v>
      </c>
      <c r="C170" s="143" t="s">
        <v>169</v>
      </c>
      <c r="D170" s="216">
        <v>0</v>
      </c>
      <c r="E170" s="202"/>
      <c r="F170" s="201">
        <f t="shared" si="73"/>
        <v>0</v>
      </c>
      <c r="G170" s="201">
        <v>0</v>
      </c>
      <c r="H170" s="201">
        <f t="shared" si="75"/>
        <v>0</v>
      </c>
      <c r="I170" s="201"/>
      <c r="J170" s="201">
        <f t="shared" si="76"/>
        <v>0</v>
      </c>
      <c r="K170" s="200">
        <f t="shared" si="72"/>
        <v>0</v>
      </c>
      <c r="L170" s="201">
        <v>0</v>
      </c>
      <c r="M170" s="201">
        <f t="shared" si="77"/>
        <v>0</v>
      </c>
      <c r="N170" s="202">
        <v>0</v>
      </c>
      <c r="O170" s="201">
        <f t="shared" si="78"/>
        <v>0</v>
      </c>
      <c r="P170" s="203">
        <f t="shared" si="79"/>
        <v>0</v>
      </c>
      <c r="Q170" s="201">
        <f t="shared" si="80"/>
        <v>0</v>
      </c>
      <c r="R170" s="284">
        <f t="shared" si="74"/>
        <v>0</v>
      </c>
      <c r="S170" s="204"/>
      <c r="T170" s="204"/>
    </row>
    <row r="171" spans="1:253" hidden="1">
      <c r="A171" s="195"/>
      <c r="B171" s="196" t="s">
        <v>290</v>
      </c>
      <c r="C171" s="143" t="s">
        <v>169</v>
      </c>
      <c r="D171" s="216">
        <v>0</v>
      </c>
      <c r="E171" s="202">
        <v>0</v>
      </c>
      <c r="F171" s="201">
        <f t="shared" si="73"/>
        <v>0</v>
      </c>
      <c r="G171" s="201">
        <v>0</v>
      </c>
      <c r="H171" s="201">
        <f t="shared" si="75"/>
        <v>0</v>
      </c>
      <c r="I171" s="201"/>
      <c r="J171" s="201">
        <f t="shared" si="76"/>
        <v>0</v>
      </c>
      <c r="K171" s="200">
        <f t="shared" si="72"/>
        <v>0</v>
      </c>
      <c r="L171" s="201">
        <v>0</v>
      </c>
      <c r="M171" s="201">
        <f t="shared" si="77"/>
        <v>0</v>
      </c>
      <c r="N171" s="202">
        <v>0</v>
      </c>
      <c r="O171" s="201">
        <f t="shared" si="78"/>
        <v>0</v>
      </c>
      <c r="P171" s="203">
        <f t="shared" si="79"/>
        <v>0</v>
      </c>
      <c r="Q171" s="201">
        <f t="shared" si="80"/>
        <v>0</v>
      </c>
      <c r="R171" s="284">
        <f t="shared" si="74"/>
        <v>0</v>
      </c>
      <c r="S171" s="204"/>
      <c r="T171" s="204"/>
    </row>
    <row r="172" spans="1:253" hidden="1">
      <c r="A172" s="195"/>
      <c r="B172" s="196" t="s">
        <v>291</v>
      </c>
      <c r="C172" s="143" t="s">
        <v>169</v>
      </c>
      <c r="D172" s="216">
        <v>0</v>
      </c>
      <c r="E172" s="202">
        <v>0</v>
      </c>
      <c r="F172" s="201">
        <f t="shared" si="73"/>
        <v>0</v>
      </c>
      <c r="G172" s="201">
        <v>0</v>
      </c>
      <c r="H172" s="201">
        <f t="shared" si="75"/>
        <v>0</v>
      </c>
      <c r="I172" s="201"/>
      <c r="J172" s="201">
        <f t="shared" si="76"/>
        <v>0</v>
      </c>
      <c r="K172" s="200">
        <f t="shared" si="72"/>
        <v>0</v>
      </c>
      <c r="L172" s="201">
        <v>0</v>
      </c>
      <c r="M172" s="201">
        <f t="shared" si="77"/>
        <v>0</v>
      </c>
      <c r="N172" s="202">
        <v>0</v>
      </c>
      <c r="O172" s="201">
        <f t="shared" si="78"/>
        <v>0</v>
      </c>
      <c r="P172" s="203">
        <f t="shared" si="79"/>
        <v>0</v>
      </c>
      <c r="Q172" s="201">
        <f t="shared" si="80"/>
        <v>0</v>
      </c>
      <c r="R172" s="284">
        <f t="shared" si="74"/>
        <v>0</v>
      </c>
      <c r="S172" s="204"/>
      <c r="T172" s="204"/>
    </row>
    <row r="173" spans="1:253" hidden="1">
      <c r="A173" s="195"/>
      <c r="B173" s="196" t="s">
        <v>42</v>
      </c>
      <c r="C173" s="143" t="s">
        <v>169</v>
      </c>
      <c r="D173" s="216"/>
      <c r="E173" s="202"/>
      <c r="F173" s="201">
        <f t="shared" si="73"/>
        <v>0</v>
      </c>
      <c r="G173" s="201">
        <v>0</v>
      </c>
      <c r="H173" s="201">
        <f t="shared" si="75"/>
        <v>0</v>
      </c>
      <c r="I173" s="201"/>
      <c r="J173" s="201">
        <f t="shared" si="76"/>
        <v>0</v>
      </c>
      <c r="K173" s="200">
        <f t="shared" si="72"/>
        <v>0</v>
      </c>
      <c r="L173" s="201">
        <v>0</v>
      </c>
      <c r="M173" s="201">
        <f t="shared" si="77"/>
        <v>0</v>
      </c>
      <c r="N173" s="202">
        <v>0</v>
      </c>
      <c r="O173" s="201">
        <f t="shared" si="78"/>
        <v>0</v>
      </c>
      <c r="P173" s="203">
        <f t="shared" si="79"/>
        <v>0</v>
      </c>
      <c r="Q173" s="201">
        <f t="shared" si="80"/>
        <v>0</v>
      </c>
      <c r="R173" s="284">
        <f t="shared" si="74"/>
        <v>0</v>
      </c>
      <c r="S173" s="204"/>
      <c r="T173" s="204"/>
    </row>
    <row r="174" spans="1:253" s="332" customFormat="1">
      <c r="A174" s="317"/>
      <c r="B174" s="318" t="s">
        <v>160</v>
      </c>
      <c r="C174" s="319"/>
      <c r="D174" s="320"/>
      <c r="E174" s="321"/>
      <c r="F174" s="322">
        <f>SUM(F88:F173)</f>
        <v>1114378</v>
      </c>
      <c r="G174" s="322"/>
      <c r="H174" s="322">
        <f>SUM(H88:H173)</f>
        <v>0</v>
      </c>
      <c r="I174" s="322"/>
      <c r="J174" s="322">
        <f>SUM(J88:J173)</f>
        <v>0</v>
      </c>
      <c r="K174" s="322">
        <f>SUM(K88:K173)</f>
        <v>0</v>
      </c>
      <c r="L174" s="322"/>
      <c r="M174" s="322">
        <f>SUM(M88:M173)</f>
        <v>0</v>
      </c>
      <c r="N174" s="321"/>
      <c r="O174" s="322">
        <f>SUM(O88:O173)</f>
        <v>0</v>
      </c>
      <c r="P174" s="324"/>
      <c r="Q174" s="322">
        <f t="shared" si="80"/>
        <v>1114378</v>
      </c>
      <c r="R174" s="335">
        <f>+Q174/DollarLC</f>
        <v>17144.276923076923</v>
      </c>
      <c r="S174" s="326"/>
      <c r="T174" s="326">
        <f>+S174-F174</f>
        <v>-1114378</v>
      </c>
      <c r="U174" s="333"/>
      <c r="V174" s="327"/>
      <c r="W174" s="333"/>
      <c r="X174" s="328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329"/>
      <c r="AJ174" s="329"/>
      <c r="AK174" s="329"/>
      <c r="AL174" s="329"/>
      <c r="AM174" s="329"/>
      <c r="AN174" s="329"/>
      <c r="AO174" s="329"/>
      <c r="AP174" s="329"/>
      <c r="AQ174" s="329"/>
      <c r="AR174" s="329"/>
      <c r="AS174" s="329"/>
      <c r="AT174" s="329"/>
      <c r="AU174" s="329"/>
      <c r="AV174" s="329"/>
      <c r="AW174" s="329"/>
      <c r="AX174" s="329"/>
      <c r="AY174" s="329"/>
      <c r="AZ174" s="329"/>
      <c r="BA174" s="329"/>
      <c r="BB174" s="329"/>
      <c r="BC174" s="329"/>
      <c r="BD174" s="329"/>
      <c r="BE174" s="329"/>
      <c r="BF174" s="329"/>
      <c r="BG174" s="329"/>
      <c r="BH174" s="329"/>
      <c r="BI174" s="329"/>
      <c r="BJ174" s="329"/>
      <c r="BK174" s="329"/>
      <c r="BL174" s="329"/>
      <c r="BM174" s="329"/>
      <c r="BN174" s="329"/>
      <c r="BO174" s="329"/>
      <c r="BP174" s="329"/>
      <c r="BQ174" s="329"/>
      <c r="BR174" s="329"/>
      <c r="BS174" s="329"/>
      <c r="BT174" s="329"/>
      <c r="BU174" s="329"/>
      <c r="BV174" s="329"/>
      <c r="BW174" s="329"/>
      <c r="BX174" s="329"/>
      <c r="BY174" s="329"/>
      <c r="BZ174" s="329"/>
      <c r="CA174" s="329"/>
      <c r="CB174" s="329"/>
      <c r="CC174" s="329"/>
      <c r="CD174" s="329"/>
      <c r="CE174" s="329"/>
      <c r="CF174" s="329"/>
      <c r="CG174" s="329"/>
      <c r="CH174" s="329"/>
      <c r="CI174" s="329"/>
      <c r="CJ174" s="329"/>
      <c r="CK174" s="329"/>
      <c r="CL174" s="329"/>
      <c r="CM174" s="329"/>
      <c r="CN174" s="329"/>
      <c r="CO174" s="329"/>
      <c r="CP174" s="329"/>
      <c r="CQ174" s="329"/>
      <c r="CR174" s="329"/>
      <c r="CS174" s="329"/>
      <c r="CT174" s="329"/>
      <c r="CU174" s="329"/>
      <c r="CV174" s="329"/>
      <c r="CW174" s="329"/>
      <c r="CX174" s="329"/>
      <c r="CY174" s="329"/>
      <c r="CZ174" s="329"/>
      <c r="DA174" s="329"/>
      <c r="DB174" s="329"/>
      <c r="DC174" s="329"/>
      <c r="DD174" s="329"/>
      <c r="DE174" s="329"/>
      <c r="DF174" s="329"/>
      <c r="DG174" s="329"/>
      <c r="DH174" s="329"/>
      <c r="DI174" s="329"/>
      <c r="DJ174" s="329"/>
      <c r="DK174" s="329"/>
      <c r="DL174" s="329"/>
      <c r="DM174" s="329"/>
      <c r="DN174" s="329"/>
      <c r="DO174" s="329"/>
      <c r="DP174" s="329"/>
      <c r="DQ174" s="329"/>
      <c r="DR174" s="329"/>
      <c r="DS174" s="329"/>
      <c r="DT174" s="329"/>
      <c r="DU174" s="329"/>
      <c r="DV174" s="329"/>
      <c r="DW174" s="329"/>
      <c r="DX174" s="329"/>
      <c r="DY174" s="329"/>
      <c r="DZ174" s="329"/>
      <c r="EA174" s="329"/>
      <c r="EB174" s="329"/>
      <c r="EC174" s="329"/>
      <c r="ED174" s="329"/>
      <c r="EE174" s="329"/>
      <c r="EF174" s="329"/>
      <c r="EG174" s="329"/>
      <c r="EH174" s="329"/>
      <c r="EI174" s="329"/>
      <c r="EJ174" s="329"/>
      <c r="EK174" s="329"/>
      <c r="EL174" s="329"/>
      <c r="EM174" s="329"/>
      <c r="EN174" s="329"/>
      <c r="EO174" s="329"/>
      <c r="EP174" s="329"/>
      <c r="EQ174" s="329"/>
      <c r="ER174" s="329"/>
      <c r="ES174" s="329"/>
      <c r="ET174" s="329"/>
      <c r="EU174" s="329"/>
      <c r="EV174" s="329"/>
      <c r="EW174" s="329"/>
      <c r="EX174" s="329"/>
      <c r="EY174" s="329"/>
      <c r="EZ174" s="329"/>
      <c r="FA174" s="329"/>
      <c r="FB174" s="329"/>
      <c r="FC174" s="329"/>
      <c r="FD174" s="329"/>
      <c r="FE174" s="329"/>
      <c r="FF174" s="329"/>
      <c r="FG174" s="329"/>
      <c r="FH174" s="329"/>
      <c r="FI174" s="329"/>
      <c r="FJ174" s="329"/>
      <c r="FK174" s="329"/>
      <c r="FL174" s="329"/>
      <c r="FM174" s="329"/>
      <c r="FN174" s="329"/>
      <c r="FO174" s="329"/>
      <c r="FP174" s="329"/>
      <c r="FQ174" s="329"/>
      <c r="FR174" s="329"/>
      <c r="FS174" s="329"/>
      <c r="FT174" s="329"/>
      <c r="FU174" s="329"/>
      <c r="FV174" s="329"/>
      <c r="FW174" s="329"/>
      <c r="FX174" s="329"/>
      <c r="FY174" s="329"/>
      <c r="FZ174" s="329"/>
      <c r="GA174" s="329"/>
      <c r="GB174" s="329"/>
      <c r="GC174" s="329"/>
      <c r="GD174" s="329"/>
      <c r="GE174" s="329"/>
      <c r="GF174" s="329"/>
      <c r="GG174" s="329"/>
      <c r="GH174" s="329"/>
      <c r="GI174" s="329"/>
      <c r="GJ174" s="329"/>
      <c r="GK174" s="329"/>
      <c r="GL174" s="329"/>
      <c r="GM174" s="329"/>
      <c r="GN174" s="329"/>
      <c r="GO174" s="329"/>
      <c r="GP174" s="329"/>
      <c r="GQ174" s="329"/>
      <c r="GR174" s="329"/>
      <c r="GS174" s="329"/>
      <c r="GT174" s="329"/>
      <c r="GU174" s="329"/>
      <c r="GV174" s="329"/>
      <c r="GW174" s="329"/>
      <c r="GX174" s="329"/>
      <c r="GY174" s="329"/>
      <c r="GZ174" s="329"/>
      <c r="HA174" s="329"/>
      <c r="HB174" s="329"/>
      <c r="HC174" s="329"/>
      <c r="HD174" s="329"/>
      <c r="HE174" s="329"/>
      <c r="HF174" s="329"/>
      <c r="HG174" s="329"/>
      <c r="HH174" s="329"/>
      <c r="HI174" s="329"/>
      <c r="HJ174" s="329"/>
      <c r="HK174" s="329"/>
      <c r="HL174" s="329"/>
      <c r="HM174" s="329"/>
      <c r="HN174" s="329"/>
      <c r="HO174" s="329"/>
      <c r="HP174" s="329"/>
      <c r="HQ174" s="329"/>
      <c r="HR174" s="329"/>
      <c r="HS174" s="329"/>
      <c r="HT174" s="329"/>
      <c r="HU174" s="329"/>
      <c r="HV174" s="329"/>
      <c r="HW174" s="329"/>
      <c r="HX174" s="329"/>
      <c r="HY174" s="329"/>
      <c r="HZ174" s="329"/>
      <c r="IA174" s="329"/>
      <c r="IB174" s="329"/>
      <c r="IC174" s="329"/>
      <c r="ID174" s="329"/>
      <c r="IE174" s="329"/>
      <c r="IF174" s="329"/>
      <c r="IG174" s="329"/>
      <c r="IH174" s="329"/>
      <c r="II174" s="329"/>
      <c r="IJ174" s="329"/>
      <c r="IK174" s="329"/>
      <c r="IL174" s="329"/>
      <c r="IM174" s="329"/>
      <c r="IN174" s="329"/>
      <c r="IO174" s="329"/>
      <c r="IP174" s="329"/>
      <c r="IQ174" s="329"/>
      <c r="IR174" s="329"/>
      <c r="IS174" s="329"/>
    </row>
    <row r="175" spans="1:253">
      <c r="A175" s="195"/>
      <c r="B175" s="196"/>
      <c r="C175" s="143"/>
      <c r="D175" s="216"/>
      <c r="E175" s="202"/>
      <c r="F175" s="201"/>
      <c r="G175" s="201"/>
      <c r="H175" s="201"/>
      <c r="I175" s="201"/>
      <c r="J175" s="201"/>
      <c r="K175" s="217"/>
      <c r="L175" s="201"/>
      <c r="M175" s="201"/>
      <c r="N175" s="202"/>
      <c r="O175" s="201"/>
      <c r="P175" s="203"/>
      <c r="Q175" s="201"/>
      <c r="R175" s="284"/>
      <c r="S175" s="204"/>
      <c r="T175" s="204" t="s">
        <v>5</v>
      </c>
    </row>
    <row r="176" spans="1:253">
      <c r="A176" s="195"/>
      <c r="B176" s="185" t="s">
        <v>372</v>
      </c>
      <c r="C176" s="145"/>
      <c r="D176" s="186"/>
      <c r="E176" s="225"/>
      <c r="F176" s="226"/>
      <c r="G176" s="226"/>
      <c r="H176" s="226"/>
      <c r="I176" s="226"/>
      <c r="J176" s="226"/>
      <c r="K176" s="227"/>
      <c r="L176" s="226"/>
      <c r="M176" s="226"/>
      <c r="N176" s="225"/>
      <c r="O176" s="226"/>
      <c r="P176" s="203"/>
      <c r="Q176" s="201">
        <f t="shared" ref="Q176:Q182" si="81">O176+M176+J176+H176+F176</f>
        <v>0</v>
      </c>
      <c r="R176" s="284"/>
      <c r="S176" s="204"/>
      <c r="T176" s="204" t="s">
        <v>5</v>
      </c>
      <c r="V176" s="193"/>
      <c r="X176" s="193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  <c r="EG176" s="194"/>
      <c r="EH176" s="194"/>
      <c r="EI176" s="194"/>
      <c r="EJ176" s="194"/>
      <c r="EK176" s="194"/>
      <c r="EL176" s="194"/>
      <c r="EM176" s="194"/>
      <c r="EN176" s="194"/>
      <c r="EO176" s="194"/>
      <c r="EP176" s="194"/>
      <c r="EQ176" s="194"/>
      <c r="ER176" s="194"/>
      <c r="ES176" s="194"/>
      <c r="ET176" s="194"/>
      <c r="EU176" s="194"/>
      <c r="EV176" s="194"/>
      <c r="EW176" s="194"/>
      <c r="EX176" s="194"/>
      <c r="EY176" s="194"/>
      <c r="EZ176" s="194"/>
      <c r="FA176" s="194"/>
      <c r="FB176" s="194"/>
      <c r="FC176" s="194"/>
      <c r="FD176" s="194"/>
      <c r="FE176" s="194"/>
      <c r="FF176" s="194"/>
      <c r="FG176" s="194"/>
      <c r="FH176" s="194"/>
      <c r="FI176" s="194"/>
      <c r="FJ176" s="194"/>
      <c r="FK176" s="194"/>
      <c r="FL176" s="194"/>
      <c r="FM176" s="194"/>
      <c r="FN176" s="194"/>
      <c r="FO176" s="194"/>
      <c r="FP176" s="194"/>
      <c r="FQ176" s="194"/>
      <c r="FR176" s="194"/>
      <c r="FS176" s="194"/>
      <c r="FT176" s="194"/>
      <c r="FU176" s="194"/>
      <c r="FV176" s="194"/>
      <c r="FW176" s="194"/>
      <c r="FX176" s="194"/>
      <c r="FY176" s="194"/>
      <c r="FZ176" s="194"/>
      <c r="GA176" s="194"/>
      <c r="GB176" s="194"/>
      <c r="GC176" s="194"/>
      <c r="GD176" s="194"/>
      <c r="GE176" s="194"/>
      <c r="GF176" s="194"/>
      <c r="GG176" s="194"/>
      <c r="GH176" s="194"/>
      <c r="GI176" s="194"/>
      <c r="GJ176" s="194"/>
      <c r="GK176" s="194"/>
      <c r="GL176" s="194"/>
      <c r="GM176" s="194"/>
      <c r="GN176" s="194"/>
      <c r="GO176" s="194"/>
      <c r="GP176" s="194"/>
      <c r="GQ176" s="194"/>
      <c r="GR176" s="194"/>
      <c r="GS176" s="194"/>
      <c r="GT176" s="194"/>
      <c r="GU176" s="194"/>
      <c r="GV176" s="194"/>
      <c r="GW176" s="194"/>
      <c r="GX176" s="194"/>
      <c r="GY176" s="194"/>
      <c r="GZ176" s="194"/>
      <c r="HA176" s="194"/>
      <c r="HB176" s="194"/>
      <c r="HC176" s="194"/>
      <c r="HD176" s="194"/>
      <c r="HE176" s="194"/>
      <c r="HF176" s="194"/>
      <c r="HG176" s="194"/>
      <c r="HH176" s="194"/>
      <c r="HI176" s="194"/>
      <c r="HJ176" s="194"/>
      <c r="HK176" s="194"/>
      <c r="HL176" s="194"/>
      <c r="HM176" s="194"/>
      <c r="HN176" s="194"/>
      <c r="HO176" s="194"/>
      <c r="HP176" s="194"/>
      <c r="HQ176" s="194"/>
      <c r="HR176" s="194"/>
      <c r="HS176" s="194"/>
      <c r="HT176" s="194"/>
      <c r="HU176" s="194"/>
      <c r="HV176" s="194"/>
      <c r="HW176" s="194"/>
      <c r="HX176" s="194"/>
      <c r="HY176" s="194"/>
      <c r="HZ176" s="194"/>
      <c r="IA176" s="194"/>
      <c r="IB176" s="194"/>
      <c r="IC176" s="194"/>
      <c r="ID176" s="194"/>
      <c r="IE176" s="194"/>
      <c r="IF176" s="194"/>
      <c r="IG176" s="194"/>
      <c r="IH176" s="194"/>
      <c r="II176" s="194"/>
      <c r="IJ176" s="194"/>
      <c r="IK176" s="194"/>
      <c r="IL176" s="194"/>
      <c r="IM176" s="194"/>
      <c r="IN176" s="194"/>
      <c r="IO176" s="194"/>
      <c r="IP176" s="194"/>
      <c r="IQ176" s="194"/>
      <c r="IR176" s="194"/>
      <c r="IS176" s="194"/>
    </row>
    <row r="177" spans="1:253">
      <c r="A177" s="195"/>
      <c r="B177" s="196" t="s">
        <v>369</v>
      </c>
      <c r="C177" s="143" t="s">
        <v>162</v>
      </c>
      <c r="D177" s="216">
        <f>Assumptions!G41</f>
        <v>27500</v>
      </c>
      <c r="E177" s="202">
        <f>ROUND(Assumptions!B4*'Detailed Budget'!H4,0)</f>
        <v>10</v>
      </c>
      <c r="F177" s="201">
        <f>ROUND(E177*D177,0)</f>
        <v>275000</v>
      </c>
      <c r="G177" s="124">
        <f>ROUND(Assumptions!B4*'Detailed Budget'!P4,0)</f>
        <v>0</v>
      </c>
      <c r="H177" s="201">
        <f t="shared" ref="H177:H182" si="82">ROUND(G177*D177*usinflation_yr2,0)</f>
        <v>0</v>
      </c>
      <c r="I177" s="201"/>
      <c r="J177" s="201"/>
      <c r="K177" s="217"/>
      <c r="L177" s="201"/>
      <c r="M177" s="201"/>
      <c r="N177" s="202"/>
      <c r="O177" s="201"/>
      <c r="P177" s="203">
        <f t="shared" ref="P177:P182" si="83">E177+G177+I177+L177+N177</f>
        <v>10</v>
      </c>
      <c r="Q177" s="201">
        <f t="shared" si="81"/>
        <v>275000</v>
      </c>
      <c r="R177" s="284">
        <f t="shared" ref="R177:R181" si="84">+Q177/DollarLC</f>
        <v>4230.7692307692305</v>
      </c>
      <c r="S177" s="204"/>
      <c r="T177" s="204"/>
    </row>
    <row r="178" spans="1:253">
      <c r="A178" s="195"/>
      <c r="B178" s="196" t="s">
        <v>370</v>
      </c>
      <c r="C178" s="143" t="s">
        <v>162</v>
      </c>
      <c r="D178" s="216">
        <f>Assumptions!G42</f>
        <v>4000</v>
      </c>
      <c r="E178" s="202">
        <f>E177</f>
        <v>10</v>
      </c>
      <c r="F178" s="201">
        <f t="shared" ref="F178:F179" si="85">ROUND(E178*D178,0)</f>
        <v>40000</v>
      </c>
      <c r="G178" s="202">
        <f>G177</f>
        <v>0</v>
      </c>
      <c r="H178" s="201">
        <f t="shared" si="82"/>
        <v>0</v>
      </c>
      <c r="I178" s="201"/>
      <c r="J178" s="201"/>
      <c r="K178" s="217"/>
      <c r="L178" s="201"/>
      <c r="M178" s="201"/>
      <c r="N178" s="202"/>
      <c r="O178" s="201"/>
      <c r="P178" s="203">
        <f t="shared" si="83"/>
        <v>10</v>
      </c>
      <c r="Q178" s="201">
        <f t="shared" si="81"/>
        <v>40000</v>
      </c>
      <c r="R178" s="284">
        <f t="shared" si="84"/>
        <v>615.38461538461536</v>
      </c>
      <c r="S178" s="204"/>
      <c r="T178" s="204"/>
    </row>
    <row r="179" spans="1:253">
      <c r="A179" s="195"/>
      <c r="B179" s="196" t="s">
        <v>371</v>
      </c>
      <c r="C179" s="143" t="s">
        <v>162</v>
      </c>
      <c r="D179" s="216">
        <f>Assumptions!G43</f>
        <v>10000</v>
      </c>
      <c r="E179" s="202">
        <f>E178</f>
        <v>10</v>
      </c>
      <c r="F179" s="201">
        <f t="shared" si="85"/>
        <v>100000</v>
      </c>
      <c r="G179" s="202">
        <f>G178</f>
        <v>0</v>
      </c>
      <c r="H179" s="201">
        <f t="shared" si="82"/>
        <v>0</v>
      </c>
      <c r="I179" s="201"/>
      <c r="J179" s="201"/>
      <c r="K179" s="217"/>
      <c r="L179" s="201"/>
      <c r="M179" s="201"/>
      <c r="N179" s="202"/>
      <c r="O179" s="201"/>
      <c r="P179" s="203">
        <f t="shared" si="83"/>
        <v>10</v>
      </c>
      <c r="Q179" s="201">
        <f t="shared" si="81"/>
        <v>100000</v>
      </c>
      <c r="R179" s="284">
        <f t="shared" si="84"/>
        <v>1538.4615384615386</v>
      </c>
      <c r="S179" s="204"/>
      <c r="T179" s="204"/>
    </row>
    <row r="180" spans="1:253">
      <c r="A180" s="195"/>
      <c r="B180" s="196" t="s">
        <v>234</v>
      </c>
      <c r="C180" s="143" t="s">
        <v>162</v>
      </c>
      <c r="D180" s="216">
        <v>250</v>
      </c>
      <c r="E180" s="202">
        <f>E179*Assumptions!B3*Assumptions!B5*Assumptions!B6</f>
        <v>3750</v>
      </c>
      <c r="F180" s="201">
        <f>ROUND(E180*D180,0)</f>
        <v>937500</v>
      </c>
      <c r="G180" s="201">
        <f>G177*Assumptions!B3*Assumptions!B5*Assumptions!B6</f>
        <v>0</v>
      </c>
      <c r="H180" s="201">
        <f t="shared" si="82"/>
        <v>0</v>
      </c>
      <c r="I180" s="226"/>
      <c r="J180" s="226"/>
      <c r="K180" s="227"/>
      <c r="L180" s="226"/>
      <c r="M180" s="226"/>
      <c r="N180" s="225"/>
      <c r="O180" s="226"/>
      <c r="P180" s="203">
        <f t="shared" si="83"/>
        <v>3750</v>
      </c>
      <c r="Q180" s="201">
        <f t="shared" si="81"/>
        <v>937500</v>
      </c>
      <c r="R180" s="284">
        <f t="shared" si="84"/>
        <v>14423.076923076924</v>
      </c>
      <c r="S180" s="204"/>
      <c r="T180" s="204"/>
      <c r="V180" s="193"/>
      <c r="X180" s="193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  <c r="EO180" s="194"/>
      <c r="EP180" s="194"/>
      <c r="EQ180" s="194"/>
      <c r="ER180" s="194"/>
      <c r="ES180" s="194"/>
      <c r="ET180" s="194"/>
      <c r="EU180" s="194"/>
      <c r="EV180" s="194"/>
      <c r="EW180" s="194"/>
      <c r="EX180" s="194"/>
      <c r="EY180" s="194"/>
      <c r="EZ180" s="194"/>
      <c r="FA180" s="194"/>
      <c r="FB180" s="194"/>
      <c r="FC180" s="194"/>
      <c r="FD180" s="194"/>
      <c r="FE180" s="194"/>
      <c r="FF180" s="194"/>
      <c r="FG180" s="194"/>
      <c r="FH180" s="194"/>
      <c r="FI180" s="194"/>
      <c r="FJ180" s="194"/>
      <c r="FK180" s="194"/>
      <c r="FL180" s="194"/>
      <c r="FM180" s="194"/>
      <c r="FN180" s="194"/>
      <c r="FO180" s="194"/>
      <c r="FP180" s="194"/>
      <c r="FQ180" s="194"/>
      <c r="FR180" s="194"/>
      <c r="FS180" s="194"/>
      <c r="FT180" s="194"/>
      <c r="FU180" s="194"/>
      <c r="FV180" s="194"/>
      <c r="FW180" s="194"/>
      <c r="FX180" s="194"/>
      <c r="FY180" s="194"/>
      <c r="FZ180" s="194"/>
      <c r="GA180" s="194"/>
      <c r="GB180" s="194"/>
      <c r="GC180" s="194"/>
      <c r="GD180" s="194"/>
      <c r="GE180" s="194"/>
      <c r="GF180" s="194"/>
      <c r="GG180" s="194"/>
      <c r="GH180" s="194"/>
      <c r="GI180" s="194"/>
      <c r="GJ180" s="194"/>
      <c r="GK180" s="194"/>
      <c r="GL180" s="194"/>
      <c r="GM180" s="194"/>
      <c r="GN180" s="194"/>
      <c r="GO180" s="194"/>
      <c r="GP180" s="194"/>
      <c r="GQ180" s="194"/>
      <c r="GR180" s="194"/>
      <c r="GS180" s="194"/>
      <c r="GT180" s="194"/>
      <c r="GU180" s="194"/>
      <c r="GV180" s="194"/>
      <c r="GW180" s="194"/>
      <c r="GX180" s="194"/>
      <c r="GY180" s="194"/>
      <c r="GZ180" s="194"/>
      <c r="HA180" s="194"/>
      <c r="HB180" s="194"/>
      <c r="HC180" s="194"/>
      <c r="HD180" s="194"/>
      <c r="HE180" s="194"/>
      <c r="HF180" s="194"/>
      <c r="HG180" s="194"/>
      <c r="HH180" s="194"/>
      <c r="HI180" s="194"/>
      <c r="HJ180" s="194"/>
      <c r="HK180" s="194"/>
      <c r="HL180" s="194"/>
      <c r="HM180" s="194"/>
      <c r="HN180" s="194"/>
      <c r="HO180" s="194"/>
      <c r="HP180" s="194"/>
      <c r="HQ180" s="194"/>
      <c r="HR180" s="194"/>
      <c r="HS180" s="194"/>
      <c r="HT180" s="194"/>
      <c r="HU180" s="194"/>
      <c r="HV180" s="194"/>
      <c r="HW180" s="194"/>
      <c r="HX180" s="194"/>
      <c r="HY180" s="194"/>
      <c r="HZ180" s="194"/>
      <c r="IA180" s="194"/>
      <c r="IB180" s="194"/>
      <c r="IC180" s="194"/>
      <c r="ID180" s="194"/>
      <c r="IE180" s="194"/>
      <c r="IF180" s="194"/>
      <c r="IG180" s="194"/>
      <c r="IH180" s="194"/>
      <c r="II180" s="194"/>
      <c r="IJ180" s="194"/>
      <c r="IK180" s="194"/>
      <c r="IL180" s="194"/>
      <c r="IM180" s="194"/>
      <c r="IN180" s="194"/>
      <c r="IO180" s="194"/>
      <c r="IP180" s="194"/>
      <c r="IQ180" s="194"/>
      <c r="IR180" s="194"/>
      <c r="IS180" s="194"/>
    </row>
    <row r="181" spans="1:253">
      <c r="A181" s="195"/>
      <c r="B181" s="196" t="s">
        <v>235</v>
      </c>
      <c r="C181" s="143" t="s">
        <v>162</v>
      </c>
      <c r="D181" s="216">
        <v>60</v>
      </c>
      <c r="E181" s="202">
        <f>E180</f>
        <v>3750</v>
      </c>
      <c r="F181" s="201">
        <f t="shared" ref="F181:F183" si="86">ROUND(E181*D181,0)</f>
        <v>225000</v>
      </c>
      <c r="G181" s="201">
        <f>G180</f>
        <v>0</v>
      </c>
      <c r="H181" s="201">
        <f t="shared" si="82"/>
        <v>0</v>
      </c>
      <c r="I181" s="226"/>
      <c r="J181" s="226"/>
      <c r="K181" s="227"/>
      <c r="L181" s="226"/>
      <c r="M181" s="226"/>
      <c r="N181" s="225"/>
      <c r="O181" s="226"/>
      <c r="P181" s="203">
        <f t="shared" si="83"/>
        <v>3750</v>
      </c>
      <c r="Q181" s="201">
        <f t="shared" si="81"/>
        <v>225000</v>
      </c>
      <c r="R181" s="284">
        <f t="shared" si="84"/>
        <v>3461.5384615384614</v>
      </c>
      <c r="S181" s="204"/>
      <c r="T181" s="204"/>
      <c r="V181" s="193"/>
      <c r="X181" s="193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  <c r="EO181" s="194"/>
      <c r="EP181" s="194"/>
      <c r="EQ181" s="194"/>
      <c r="ER181" s="194"/>
      <c r="ES181" s="194"/>
      <c r="ET181" s="194"/>
      <c r="EU181" s="194"/>
      <c r="EV181" s="194"/>
      <c r="EW181" s="194"/>
      <c r="EX181" s="194"/>
      <c r="EY181" s="194"/>
      <c r="EZ181" s="194"/>
      <c r="FA181" s="194"/>
      <c r="FB181" s="194"/>
      <c r="FC181" s="194"/>
      <c r="FD181" s="194"/>
      <c r="FE181" s="194"/>
      <c r="FF181" s="194"/>
      <c r="FG181" s="194"/>
      <c r="FH181" s="194"/>
      <c r="FI181" s="194"/>
      <c r="FJ181" s="194"/>
      <c r="FK181" s="194"/>
      <c r="FL181" s="194"/>
      <c r="FM181" s="194"/>
      <c r="FN181" s="194"/>
      <c r="FO181" s="194"/>
      <c r="FP181" s="194"/>
      <c r="FQ181" s="194"/>
      <c r="FR181" s="194"/>
      <c r="FS181" s="194"/>
      <c r="FT181" s="194"/>
      <c r="FU181" s="194"/>
      <c r="FV181" s="194"/>
      <c r="FW181" s="194"/>
      <c r="FX181" s="194"/>
      <c r="FY181" s="194"/>
      <c r="FZ181" s="194"/>
      <c r="GA181" s="194"/>
      <c r="GB181" s="194"/>
      <c r="GC181" s="194"/>
      <c r="GD181" s="194"/>
      <c r="GE181" s="194"/>
      <c r="GF181" s="194"/>
      <c r="GG181" s="194"/>
      <c r="GH181" s="194"/>
      <c r="GI181" s="194"/>
      <c r="GJ181" s="194"/>
      <c r="GK181" s="194"/>
      <c r="GL181" s="194"/>
      <c r="GM181" s="194"/>
      <c r="GN181" s="194"/>
      <c r="GO181" s="194"/>
      <c r="GP181" s="194"/>
      <c r="GQ181" s="194"/>
      <c r="GR181" s="194"/>
      <c r="GS181" s="194"/>
      <c r="GT181" s="194"/>
      <c r="GU181" s="194"/>
      <c r="GV181" s="194"/>
      <c r="GW181" s="194"/>
      <c r="GX181" s="194"/>
      <c r="GY181" s="194"/>
      <c r="GZ181" s="194"/>
      <c r="HA181" s="194"/>
      <c r="HB181" s="194"/>
      <c r="HC181" s="194"/>
      <c r="HD181" s="194"/>
      <c r="HE181" s="194"/>
      <c r="HF181" s="194"/>
      <c r="HG181" s="194"/>
      <c r="HH181" s="194"/>
      <c r="HI181" s="194"/>
      <c r="HJ181" s="194"/>
      <c r="HK181" s="194"/>
      <c r="HL181" s="194"/>
      <c r="HM181" s="194"/>
      <c r="HN181" s="194"/>
      <c r="HO181" s="194"/>
      <c r="HP181" s="194"/>
      <c r="HQ181" s="194"/>
      <c r="HR181" s="194"/>
      <c r="HS181" s="194"/>
      <c r="HT181" s="194"/>
      <c r="HU181" s="194"/>
      <c r="HV181" s="194"/>
      <c r="HW181" s="194"/>
      <c r="HX181" s="194"/>
      <c r="HY181" s="194"/>
      <c r="HZ181" s="194"/>
      <c r="IA181" s="194"/>
      <c r="IB181" s="194"/>
      <c r="IC181" s="194"/>
      <c r="ID181" s="194"/>
      <c r="IE181" s="194"/>
      <c r="IF181" s="194"/>
      <c r="IG181" s="194"/>
      <c r="IH181" s="194"/>
      <c r="II181" s="194"/>
      <c r="IJ181" s="194"/>
      <c r="IK181" s="194"/>
      <c r="IL181" s="194"/>
      <c r="IM181" s="194"/>
      <c r="IN181" s="194"/>
      <c r="IO181" s="194"/>
      <c r="IP181" s="194"/>
      <c r="IQ181" s="194"/>
      <c r="IR181" s="194"/>
      <c r="IS181" s="194"/>
    </row>
    <row r="182" spans="1:253">
      <c r="A182" s="195"/>
      <c r="B182" s="196" t="s">
        <v>284</v>
      </c>
      <c r="C182" s="143" t="s">
        <v>162</v>
      </c>
      <c r="D182" s="216">
        <v>0</v>
      </c>
      <c r="E182" s="202"/>
      <c r="F182" s="201">
        <f t="shared" si="86"/>
        <v>0</v>
      </c>
      <c r="G182" s="201">
        <v>0</v>
      </c>
      <c r="H182" s="201">
        <f t="shared" si="82"/>
        <v>0</v>
      </c>
      <c r="I182" s="201"/>
      <c r="J182" s="201">
        <f>ROUND(I182*D182*usinflation_yr3,0)</f>
        <v>0</v>
      </c>
      <c r="K182" s="200">
        <f t="shared" ref="K182" si="87">J182/$D$2</f>
        <v>0</v>
      </c>
      <c r="L182" s="201">
        <v>0</v>
      </c>
      <c r="M182" s="201">
        <f>ROUND(L182*D182*usinflation_yr4,0)</f>
        <v>0</v>
      </c>
      <c r="N182" s="202">
        <v>0</v>
      </c>
      <c r="O182" s="201">
        <f>ROUND(N182*D182*usinflation_yr5,0)</f>
        <v>0</v>
      </c>
      <c r="P182" s="203">
        <f t="shared" si="83"/>
        <v>0</v>
      </c>
      <c r="Q182" s="201">
        <f t="shared" si="81"/>
        <v>0</v>
      </c>
      <c r="R182" s="284">
        <f>+Q182/DollarLC</f>
        <v>0</v>
      </c>
      <c r="S182" s="204"/>
      <c r="T182" s="204"/>
    </row>
    <row r="183" spans="1:253">
      <c r="A183" s="195"/>
      <c r="B183" s="196" t="s">
        <v>384</v>
      </c>
      <c r="C183" s="143" t="s">
        <v>385</v>
      </c>
      <c r="D183" s="216">
        <v>1000</v>
      </c>
      <c r="E183" s="202">
        <v>10</v>
      </c>
      <c r="F183" s="201">
        <f t="shared" si="86"/>
        <v>10000</v>
      </c>
      <c r="G183" s="201"/>
      <c r="H183" s="201"/>
      <c r="I183" s="201"/>
      <c r="J183" s="201"/>
      <c r="K183" s="199"/>
      <c r="L183" s="201"/>
      <c r="M183" s="201"/>
      <c r="N183" s="202"/>
      <c r="O183" s="201"/>
      <c r="P183" s="203"/>
      <c r="Q183" s="201"/>
      <c r="R183" s="284"/>
      <c r="S183" s="204"/>
      <c r="T183" s="204"/>
    </row>
    <row r="184" spans="1:253" s="332" customFormat="1" ht="27.6">
      <c r="A184" s="317"/>
      <c r="B184" s="318" t="s">
        <v>226</v>
      </c>
      <c r="C184" s="319"/>
      <c r="D184" s="320"/>
      <c r="E184" s="321"/>
      <c r="F184" s="322">
        <f>SUM(F177:F183)</f>
        <v>1587500</v>
      </c>
      <c r="G184" s="322"/>
      <c r="H184" s="322">
        <f>SUM(H177:H182)</f>
        <v>0</v>
      </c>
      <c r="I184" s="322"/>
      <c r="J184" s="322">
        <f>SUM(J182:J182)</f>
        <v>0</v>
      </c>
      <c r="K184" s="322">
        <f>SUM(K182:K182)</f>
        <v>0</v>
      </c>
      <c r="L184" s="322"/>
      <c r="M184" s="322">
        <f>SUM(M182:M182)</f>
        <v>0</v>
      </c>
      <c r="N184" s="321"/>
      <c r="O184" s="322">
        <f>SUM(O182:O182)</f>
        <v>0</v>
      </c>
      <c r="P184" s="324"/>
      <c r="Q184" s="322">
        <f>O184+M184+J184+H184+F184</f>
        <v>1587500</v>
      </c>
      <c r="R184" s="325">
        <f>SUM(R177:R182)</f>
        <v>24269.23076923077</v>
      </c>
      <c r="S184" s="326"/>
      <c r="T184" s="326" t="s">
        <v>5</v>
      </c>
      <c r="U184" s="333"/>
      <c r="V184" s="327"/>
      <c r="W184" s="333"/>
      <c r="X184" s="328"/>
      <c r="Z184" s="334" t="e">
        <f>#REF!*#REF!</f>
        <v>#REF!</v>
      </c>
      <c r="AA184" s="334" t="e">
        <f>#REF!*#REF!</f>
        <v>#REF!</v>
      </c>
      <c r="AB184" s="334" t="e">
        <f>#REF!*#REF!</f>
        <v>#REF!</v>
      </c>
      <c r="AC184" s="334" t="e">
        <f>#REF!*#REF!</f>
        <v>#REF!</v>
      </c>
      <c r="AD184" s="329"/>
      <c r="AE184" s="329"/>
      <c r="AF184" s="329"/>
      <c r="AG184" s="329"/>
      <c r="AH184" s="329"/>
      <c r="AI184" s="329"/>
      <c r="AJ184" s="329"/>
      <c r="AK184" s="329"/>
      <c r="AL184" s="329"/>
      <c r="AM184" s="329"/>
      <c r="AN184" s="329"/>
      <c r="AO184" s="329"/>
      <c r="AP184" s="329"/>
      <c r="AQ184" s="329"/>
      <c r="AR184" s="329"/>
      <c r="AS184" s="329"/>
      <c r="AT184" s="329"/>
      <c r="AU184" s="329"/>
      <c r="AV184" s="329"/>
      <c r="AW184" s="329"/>
      <c r="AX184" s="329"/>
      <c r="AY184" s="329"/>
      <c r="AZ184" s="329"/>
      <c r="BA184" s="329"/>
      <c r="BB184" s="329"/>
      <c r="BC184" s="329"/>
      <c r="BD184" s="329"/>
      <c r="BE184" s="329"/>
      <c r="BF184" s="329"/>
      <c r="BG184" s="329"/>
      <c r="BH184" s="329"/>
      <c r="BI184" s="329"/>
      <c r="BJ184" s="329"/>
      <c r="BK184" s="329"/>
      <c r="BL184" s="329"/>
      <c r="BM184" s="329"/>
      <c r="BN184" s="329"/>
      <c r="BO184" s="329"/>
      <c r="BP184" s="329"/>
      <c r="BQ184" s="329"/>
      <c r="BR184" s="329"/>
      <c r="BS184" s="329"/>
      <c r="BT184" s="329"/>
      <c r="BU184" s="329"/>
      <c r="BV184" s="329"/>
      <c r="BW184" s="329"/>
      <c r="BX184" s="329"/>
      <c r="BY184" s="329"/>
      <c r="BZ184" s="329"/>
      <c r="CA184" s="329"/>
      <c r="CB184" s="329"/>
      <c r="CC184" s="329"/>
      <c r="CD184" s="329"/>
      <c r="CE184" s="329"/>
      <c r="CF184" s="329"/>
      <c r="CG184" s="329"/>
      <c r="CH184" s="329"/>
      <c r="CI184" s="329"/>
      <c r="CJ184" s="329"/>
      <c r="CK184" s="329"/>
      <c r="CL184" s="329"/>
      <c r="CM184" s="329"/>
      <c r="CN184" s="329"/>
      <c r="CO184" s="329"/>
      <c r="CP184" s="329"/>
      <c r="CQ184" s="329"/>
      <c r="CR184" s="329"/>
      <c r="CS184" s="329"/>
      <c r="CT184" s="329"/>
      <c r="CU184" s="329"/>
      <c r="CV184" s="329"/>
      <c r="CW184" s="329"/>
      <c r="CX184" s="329"/>
      <c r="CY184" s="329"/>
      <c r="CZ184" s="329"/>
      <c r="DA184" s="329"/>
      <c r="DB184" s="329"/>
      <c r="DC184" s="329"/>
      <c r="DD184" s="329"/>
      <c r="DE184" s="329"/>
      <c r="DF184" s="329"/>
      <c r="DG184" s="329"/>
      <c r="DH184" s="329"/>
      <c r="DI184" s="329"/>
      <c r="DJ184" s="329"/>
      <c r="DK184" s="329"/>
      <c r="DL184" s="329"/>
      <c r="DM184" s="329"/>
      <c r="DN184" s="329"/>
      <c r="DO184" s="329"/>
      <c r="DP184" s="329"/>
      <c r="DQ184" s="329"/>
      <c r="DR184" s="329"/>
      <c r="DS184" s="329"/>
      <c r="DT184" s="329"/>
      <c r="DU184" s="329"/>
      <c r="DV184" s="329"/>
      <c r="DW184" s="329"/>
      <c r="DX184" s="329"/>
      <c r="DY184" s="329"/>
      <c r="DZ184" s="329"/>
      <c r="EA184" s="329"/>
      <c r="EB184" s="329"/>
      <c r="EC184" s="329"/>
      <c r="ED184" s="329"/>
      <c r="EE184" s="329"/>
      <c r="EF184" s="329"/>
      <c r="EG184" s="329"/>
      <c r="EH184" s="329"/>
      <c r="EI184" s="329"/>
      <c r="EJ184" s="329"/>
      <c r="EK184" s="329"/>
      <c r="EL184" s="329"/>
      <c r="EM184" s="329"/>
      <c r="EN184" s="329"/>
      <c r="EO184" s="329"/>
      <c r="EP184" s="329"/>
      <c r="EQ184" s="329"/>
      <c r="ER184" s="329"/>
      <c r="ES184" s="329"/>
      <c r="ET184" s="329"/>
      <c r="EU184" s="329"/>
      <c r="EV184" s="329"/>
      <c r="EW184" s="329"/>
      <c r="EX184" s="329"/>
      <c r="EY184" s="329"/>
      <c r="EZ184" s="329"/>
      <c r="FA184" s="329"/>
      <c r="FB184" s="329"/>
      <c r="FC184" s="329"/>
      <c r="FD184" s="329"/>
      <c r="FE184" s="329"/>
      <c r="FF184" s="329"/>
      <c r="FG184" s="329"/>
      <c r="FH184" s="329"/>
      <c r="FI184" s="329"/>
      <c r="FJ184" s="329"/>
      <c r="FK184" s="329"/>
      <c r="FL184" s="329"/>
      <c r="FM184" s="329"/>
      <c r="FN184" s="329"/>
      <c r="FO184" s="329"/>
      <c r="FP184" s="329"/>
      <c r="FQ184" s="329"/>
      <c r="FR184" s="329"/>
      <c r="FS184" s="329"/>
      <c r="FT184" s="329"/>
      <c r="FU184" s="329"/>
      <c r="FV184" s="329"/>
      <c r="FW184" s="329"/>
      <c r="FX184" s="329"/>
      <c r="FY184" s="329"/>
      <c r="FZ184" s="329"/>
      <c r="GA184" s="329"/>
      <c r="GB184" s="329"/>
      <c r="GC184" s="329"/>
      <c r="GD184" s="329"/>
      <c r="GE184" s="329"/>
      <c r="GF184" s="329"/>
      <c r="GG184" s="329"/>
      <c r="GH184" s="329"/>
      <c r="GI184" s="329"/>
      <c r="GJ184" s="329"/>
      <c r="GK184" s="329"/>
      <c r="GL184" s="329"/>
      <c r="GM184" s="329"/>
      <c r="GN184" s="329"/>
      <c r="GO184" s="329"/>
      <c r="GP184" s="329"/>
      <c r="GQ184" s="329"/>
      <c r="GR184" s="329"/>
      <c r="GS184" s="329"/>
      <c r="GT184" s="329"/>
      <c r="GU184" s="329"/>
      <c r="GV184" s="329"/>
      <c r="GW184" s="329"/>
      <c r="GX184" s="329"/>
      <c r="GY184" s="329"/>
      <c r="GZ184" s="329"/>
      <c r="HA184" s="329"/>
      <c r="HB184" s="329"/>
      <c r="HC184" s="329"/>
      <c r="HD184" s="329"/>
      <c r="HE184" s="329"/>
      <c r="HF184" s="329"/>
      <c r="HG184" s="329"/>
      <c r="HH184" s="329"/>
      <c r="HI184" s="329"/>
      <c r="HJ184" s="329"/>
      <c r="HK184" s="329"/>
      <c r="HL184" s="329"/>
      <c r="HM184" s="329"/>
      <c r="HN184" s="329"/>
      <c r="HO184" s="329"/>
      <c r="HP184" s="329"/>
      <c r="HQ184" s="329"/>
      <c r="HR184" s="329"/>
      <c r="HS184" s="329"/>
      <c r="HT184" s="329"/>
      <c r="HU184" s="329"/>
      <c r="HV184" s="329"/>
      <c r="HW184" s="329"/>
      <c r="HX184" s="329"/>
      <c r="HY184" s="329"/>
      <c r="HZ184" s="329"/>
      <c r="IA184" s="329"/>
      <c r="IB184" s="329"/>
      <c r="IC184" s="329"/>
      <c r="ID184" s="329"/>
      <c r="IE184" s="329"/>
      <c r="IF184" s="329"/>
      <c r="IG184" s="329"/>
      <c r="IH184" s="329"/>
      <c r="II184" s="329"/>
      <c r="IJ184" s="329"/>
      <c r="IK184" s="329"/>
      <c r="IL184" s="329"/>
      <c r="IM184" s="329"/>
      <c r="IN184" s="329"/>
      <c r="IO184" s="329"/>
      <c r="IP184" s="329"/>
      <c r="IQ184" s="329"/>
      <c r="IR184" s="329"/>
      <c r="IS184" s="329"/>
    </row>
    <row r="185" spans="1:253">
      <c r="A185" s="195"/>
      <c r="B185" s="196"/>
      <c r="C185" s="143"/>
      <c r="D185" s="216"/>
      <c r="E185" s="202"/>
      <c r="F185" s="201"/>
      <c r="G185" s="201"/>
      <c r="H185" s="201"/>
      <c r="I185" s="201"/>
      <c r="J185" s="201"/>
      <c r="K185" s="217"/>
      <c r="L185" s="201"/>
      <c r="M185" s="201"/>
      <c r="N185" s="202"/>
      <c r="O185" s="201"/>
      <c r="P185" s="203"/>
      <c r="Q185" s="201"/>
      <c r="R185" s="284"/>
      <c r="S185" s="204"/>
      <c r="T185" s="204"/>
    </row>
    <row r="186" spans="1:253">
      <c r="A186" s="195"/>
      <c r="B186" s="196"/>
      <c r="C186" s="143"/>
      <c r="D186" s="216"/>
      <c r="E186" s="202"/>
      <c r="F186" s="201"/>
      <c r="G186" s="201"/>
      <c r="H186" s="201"/>
      <c r="I186" s="201"/>
      <c r="J186" s="201"/>
      <c r="K186" s="217"/>
      <c r="L186" s="201"/>
      <c r="M186" s="201"/>
      <c r="N186" s="202"/>
      <c r="O186" s="201"/>
      <c r="P186" s="203"/>
      <c r="Q186" s="201"/>
      <c r="R186" s="284"/>
      <c r="S186" s="204"/>
      <c r="T186" s="204" t="s">
        <v>5</v>
      </c>
    </row>
    <row r="187" spans="1:253">
      <c r="A187" s="195"/>
      <c r="B187" s="196"/>
      <c r="C187" s="143"/>
      <c r="D187" s="216"/>
      <c r="E187" s="202"/>
      <c r="F187" s="201"/>
      <c r="G187" s="201"/>
      <c r="H187" s="201"/>
      <c r="I187" s="201"/>
      <c r="J187" s="201"/>
      <c r="K187" s="217"/>
      <c r="L187" s="201"/>
      <c r="M187" s="201"/>
      <c r="N187" s="202"/>
      <c r="O187" s="201"/>
      <c r="P187" s="203"/>
      <c r="Q187" s="201"/>
      <c r="R187" s="284"/>
      <c r="S187" s="204"/>
      <c r="T187" s="204" t="s">
        <v>5</v>
      </c>
    </row>
    <row r="188" spans="1:253">
      <c r="A188" s="195"/>
      <c r="B188" s="185" t="s">
        <v>376</v>
      </c>
      <c r="C188" s="145"/>
      <c r="D188" s="186"/>
      <c r="E188" s="225"/>
      <c r="F188" s="226"/>
      <c r="G188" s="226"/>
      <c r="H188" s="226"/>
      <c r="I188" s="226"/>
      <c r="J188" s="226"/>
      <c r="K188" s="227"/>
      <c r="L188" s="226"/>
      <c r="M188" s="226"/>
      <c r="N188" s="225"/>
      <c r="O188" s="226"/>
      <c r="P188" s="203"/>
      <c r="Q188" s="201"/>
      <c r="R188" s="284"/>
      <c r="S188" s="204"/>
      <c r="T188" s="204" t="s">
        <v>5</v>
      </c>
      <c r="V188" s="193"/>
      <c r="X188" s="193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  <c r="EO188" s="194"/>
      <c r="EP188" s="194"/>
      <c r="EQ188" s="194"/>
      <c r="ER188" s="194"/>
      <c r="ES188" s="194"/>
      <c r="ET188" s="194"/>
      <c r="EU188" s="194"/>
      <c r="EV188" s="194"/>
      <c r="EW188" s="194"/>
      <c r="EX188" s="194"/>
      <c r="EY188" s="194"/>
      <c r="EZ188" s="194"/>
      <c r="FA188" s="194"/>
      <c r="FB188" s="194"/>
      <c r="FC188" s="194"/>
      <c r="FD188" s="194"/>
      <c r="FE188" s="194"/>
      <c r="FF188" s="194"/>
      <c r="FG188" s="194"/>
      <c r="FH188" s="194"/>
      <c r="FI188" s="194"/>
      <c r="FJ188" s="194"/>
      <c r="FK188" s="194"/>
      <c r="FL188" s="194"/>
      <c r="FM188" s="194"/>
      <c r="FN188" s="194"/>
      <c r="FO188" s="194"/>
      <c r="FP188" s="194"/>
      <c r="FQ188" s="194"/>
      <c r="FR188" s="194"/>
      <c r="FS188" s="194"/>
      <c r="FT188" s="194"/>
      <c r="FU188" s="194"/>
      <c r="FV188" s="194"/>
      <c r="FW188" s="194"/>
      <c r="FX188" s="194"/>
      <c r="FY188" s="194"/>
      <c r="FZ188" s="194"/>
      <c r="GA188" s="194"/>
      <c r="GB188" s="194"/>
      <c r="GC188" s="194"/>
      <c r="GD188" s="194"/>
      <c r="GE188" s="194"/>
      <c r="GF188" s="194"/>
      <c r="GG188" s="194"/>
      <c r="GH188" s="194"/>
      <c r="GI188" s="194"/>
      <c r="GJ188" s="194"/>
      <c r="GK188" s="194"/>
      <c r="GL188" s="194"/>
      <c r="GM188" s="194"/>
      <c r="GN188" s="194"/>
      <c r="GO188" s="194"/>
      <c r="GP188" s="194"/>
      <c r="GQ188" s="194"/>
      <c r="GR188" s="194"/>
      <c r="GS188" s="194"/>
      <c r="GT188" s="194"/>
      <c r="GU188" s="194"/>
      <c r="GV188" s="194"/>
      <c r="GW188" s="194"/>
      <c r="GX188" s="194"/>
      <c r="GY188" s="194"/>
      <c r="GZ188" s="194"/>
      <c r="HA188" s="194"/>
      <c r="HB188" s="194"/>
      <c r="HC188" s="194"/>
      <c r="HD188" s="194"/>
      <c r="HE188" s="194"/>
      <c r="HF188" s="194"/>
      <c r="HG188" s="194"/>
      <c r="HH188" s="194"/>
      <c r="HI188" s="194"/>
      <c r="HJ188" s="194"/>
      <c r="HK188" s="194"/>
      <c r="HL188" s="194"/>
      <c r="HM188" s="194"/>
      <c r="HN188" s="194"/>
      <c r="HO188" s="194"/>
      <c r="HP188" s="194"/>
      <c r="HQ188" s="194"/>
      <c r="HR188" s="194"/>
      <c r="HS188" s="194"/>
      <c r="HT188" s="194"/>
      <c r="HU188" s="194"/>
      <c r="HV188" s="194"/>
      <c r="HW188" s="194"/>
      <c r="HX188" s="194"/>
      <c r="HY188" s="194"/>
      <c r="HZ188" s="194"/>
      <c r="IA188" s="194"/>
      <c r="IB188" s="194"/>
      <c r="IC188" s="194"/>
      <c r="ID188" s="194"/>
      <c r="IE188" s="194"/>
      <c r="IF188" s="194"/>
      <c r="IG188" s="194"/>
      <c r="IH188" s="194"/>
      <c r="II188" s="194"/>
      <c r="IJ188" s="194"/>
      <c r="IK188" s="194"/>
      <c r="IL188" s="194"/>
      <c r="IM188" s="194"/>
      <c r="IN188" s="194"/>
      <c r="IO188" s="194"/>
      <c r="IP188" s="194"/>
      <c r="IQ188" s="194"/>
      <c r="IR188" s="194"/>
      <c r="IS188" s="194"/>
    </row>
    <row r="189" spans="1:253">
      <c r="A189" s="195"/>
      <c r="B189" s="196" t="s">
        <v>163</v>
      </c>
      <c r="C189" s="143" t="s">
        <v>8</v>
      </c>
      <c r="D189" s="216">
        <v>20000</v>
      </c>
      <c r="E189" s="202">
        <f>E20</f>
        <v>4</v>
      </c>
      <c r="F189" s="201">
        <f t="shared" ref="F189:F192" si="88">ROUND(E189*D189,0)</f>
        <v>80000</v>
      </c>
      <c r="G189" s="201">
        <f>G20</f>
        <v>0</v>
      </c>
      <c r="H189" s="201">
        <f t="shared" ref="H189:H195" si="89">ROUND(G189*D189*localinflation_yr2,0)</f>
        <v>0</v>
      </c>
      <c r="I189" s="201"/>
      <c r="J189" s="201">
        <f t="shared" ref="J189:J195" si="90">ROUND(I189*D189*localinflation_yr3,0)</f>
        <v>0</v>
      </c>
      <c r="K189" s="200">
        <f t="shared" ref="K189:K193" si="91">J189/$D$2</f>
        <v>0</v>
      </c>
      <c r="L189" s="201">
        <v>0</v>
      </c>
      <c r="M189" s="201">
        <f t="shared" ref="M189:M195" si="92">ROUND(L189*D189*localinflation_yr4,0)</f>
        <v>0</v>
      </c>
      <c r="N189" s="202">
        <v>0</v>
      </c>
      <c r="O189" s="201">
        <f t="shared" ref="O189:O195" si="93">ROUND(N189*D189*localinflation_yr5,0)</f>
        <v>0</v>
      </c>
      <c r="P189" s="203">
        <f t="shared" ref="P189:P195" si="94">E189+G189+I189+L189+N189</f>
        <v>4</v>
      </c>
      <c r="Q189" s="201">
        <f t="shared" ref="Q189:Q196" si="95">O189+M189+J189+H189+F189</f>
        <v>80000</v>
      </c>
      <c r="R189" s="284">
        <f t="shared" ref="R189:R193" si="96">+Q189/DollarLC</f>
        <v>1230.7692307692307</v>
      </c>
      <c r="S189" s="204">
        <f>+D189*E189</f>
        <v>80000</v>
      </c>
      <c r="T189" s="204">
        <f>+S189-F189</f>
        <v>0</v>
      </c>
      <c r="Z189" s="205">
        <v>0.25</v>
      </c>
      <c r="AA189" s="205">
        <v>0.25</v>
      </c>
      <c r="AB189" s="205">
        <v>0.25</v>
      </c>
      <c r="AC189" s="205">
        <v>0.25</v>
      </c>
    </row>
    <row r="190" spans="1:253">
      <c r="A190" s="195"/>
      <c r="B190" s="196" t="s">
        <v>164</v>
      </c>
      <c r="C190" s="143" t="s">
        <v>8</v>
      </c>
      <c r="D190" s="216">
        <v>1000</v>
      </c>
      <c r="E190" s="202">
        <f>E189</f>
        <v>4</v>
      </c>
      <c r="F190" s="201">
        <f t="shared" si="88"/>
        <v>4000</v>
      </c>
      <c r="G190" s="201">
        <f>G189</f>
        <v>0</v>
      </c>
      <c r="H190" s="201">
        <f t="shared" si="89"/>
        <v>0</v>
      </c>
      <c r="I190" s="201"/>
      <c r="J190" s="201">
        <f t="shared" si="90"/>
        <v>0</v>
      </c>
      <c r="K190" s="200">
        <f t="shared" si="91"/>
        <v>0</v>
      </c>
      <c r="L190" s="201">
        <v>0</v>
      </c>
      <c r="M190" s="201">
        <f t="shared" si="92"/>
        <v>0</v>
      </c>
      <c r="N190" s="202">
        <v>0</v>
      </c>
      <c r="O190" s="201">
        <f t="shared" si="93"/>
        <v>0</v>
      </c>
      <c r="P190" s="203">
        <f t="shared" si="94"/>
        <v>4</v>
      </c>
      <c r="Q190" s="201">
        <f t="shared" si="95"/>
        <v>4000</v>
      </c>
      <c r="R190" s="284">
        <f t="shared" si="96"/>
        <v>61.53846153846154</v>
      </c>
      <c r="S190" s="204">
        <f>+D190*E190</f>
        <v>4000</v>
      </c>
      <c r="T190" s="204">
        <f>+S190-F190</f>
        <v>0</v>
      </c>
    </row>
    <row r="191" spans="1:253">
      <c r="A191" s="195"/>
      <c r="B191" s="196" t="s">
        <v>17</v>
      </c>
      <c r="C191" s="143" t="s">
        <v>8</v>
      </c>
      <c r="D191" s="216">
        <v>2000</v>
      </c>
      <c r="E191" s="202">
        <f>E189</f>
        <v>4</v>
      </c>
      <c r="F191" s="201">
        <f t="shared" si="88"/>
        <v>8000</v>
      </c>
      <c r="G191" s="201">
        <f>G190</f>
        <v>0</v>
      </c>
      <c r="H191" s="201">
        <f t="shared" si="89"/>
        <v>0</v>
      </c>
      <c r="I191" s="201"/>
      <c r="J191" s="201">
        <f t="shared" si="90"/>
        <v>0</v>
      </c>
      <c r="K191" s="200">
        <f t="shared" si="91"/>
        <v>0</v>
      </c>
      <c r="L191" s="201">
        <v>0</v>
      </c>
      <c r="M191" s="201">
        <f t="shared" si="92"/>
        <v>0</v>
      </c>
      <c r="N191" s="202">
        <v>0</v>
      </c>
      <c r="O191" s="201">
        <f t="shared" si="93"/>
        <v>0</v>
      </c>
      <c r="P191" s="203">
        <f t="shared" si="94"/>
        <v>4</v>
      </c>
      <c r="Q191" s="201">
        <f t="shared" si="95"/>
        <v>8000</v>
      </c>
      <c r="R191" s="284">
        <f t="shared" si="96"/>
        <v>123.07692307692308</v>
      </c>
      <c r="S191" s="204">
        <f>+D191*E191</f>
        <v>8000</v>
      </c>
      <c r="T191" s="204">
        <f>+S191-F191</f>
        <v>0</v>
      </c>
      <c r="Z191" s="205">
        <v>0.25</v>
      </c>
      <c r="AA191" s="205">
        <v>0.25</v>
      </c>
      <c r="AB191" s="205">
        <v>0.25</v>
      </c>
      <c r="AC191" s="205">
        <v>0.25</v>
      </c>
    </row>
    <row r="192" spans="1:253">
      <c r="A192" s="195"/>
      <c r="B192" s="196" t="s">
        <v>18</v>
      </c>
      <c r="C192" s="143" t="s">
        <v>8</v>
      </c>
      <c r="D192" s="216">
        <v>1000</v>
      </c>
      <c r="E192" s="202">
        <f>E189</f>
        <v>4</v>
      </c>
      <c r="F192" s="201">
        <f t="shared" si="88"/>
        <v>4000</v>
      </c>
      <c r="G192" s="201">
        <f>G191</f>
        <v>0</v>
      </c>
      <c r="H192" s="201">
        <f t="shared" si="89"/>
        <v>0</v>
      </c>
      <c r="I192" s="201"/>
      <c r="J192" s="201">
        <f t="shared" si="90"/>
        <v>0</v>
      </c>
      <c r="K192" s="200">
        <f t="shared" si="91"/>
        <v>0</v>
      </c>
      <c r="L192" s="201">
        <v>0</v>
      </c>
      <c r="M192" s="201">
        <f t="shared" si="92"/>
        <v>0</v>
      </c>
      <c r="N192" s="202">
        <v>0</v>
      </c>
      <c r="O192" s="201">
        <f t="shared" si="93"/>
        <v>0</v>
      </c>
      <c r="P192" s="203">
        <f t="shared" si="94"/>
        <v>4</v>
      </c>
      <c r="Q192" s="201">
        <f t="shared" si="95"/>
        <v>4000</v>
      </c>
      <c r="R192" s="284">
        <f>+Q192/DollarLC</f>
        <v>61.53846153846154</v>
      </c>
      <c r="S192" s="204">
        <f>+D192*E192</f>
        <v>4000</v>
      </c>
      <c r="T192" s="204">
        <f>+S192-F192</f>
        <v>0</v>
      </c>
      <c r="Z192" s="205">
        <v>0.25</v>
      </c>
      <c r="AA192" s="205">
        <v>0.25</v>
      </c>
      <c r="AB192" s="205">
        <v>0.25</v>
      </c>
      <c r="AC192" s="205">
        <v>0.25</v>
      </c>
    </row>
    <row r="193" spans="1:253">
      <c r="A193" s="195"/>
      <c r="B193" s="196" t="s">
        <v>19</v>
      </c>
      <c r="C193" s="143" t="s">
        <v>8</v>
      </c>
      <c r="D193" s="216">
        <v>1000</v>
      </c>
      <c r="E193" s="202">
        <f>E192</f>
        <v>4</v>
      </c>
      <c r="F193" s="201">
        <f t="shared" ref="F193" si="97">ROUND(E193*D193,0)</f>
        <v>4000</v>
      </c>
      <c r="G193" s="201">
        <f>G192</f>
        <v>0</v>
      </c>
      <c r="H193" s="201">
        <f t="shared" si="89"/>
        <v>0</v>
      </c>
      <c r="I193" s="201"/>
      <c r="J193" s="201">
        <f t="shared" si="90"/>
        <v>0</v>
      </c>
      <c r="K193" s="200">
        <f t="shared" si="91"/>
        <v>0</v>
      </c>
      <c r="L193" s="201">
        <v>0</v>
      </c>
      <c r="M193" s="201">
        <f t="shared" si="92"/>
        <v>0</v>
      </c>
      <c r="N193" s="202">
        <v>0</v>
      </c>
      <c r="O193" s="201">
        <f t="shared" si="93"/>
        <v>0</v>
      </c>
      <c r="P193" s="203">
        <f t="shared" si="94"/>
        <v>4</v>
      </c>
      <c r="Q193" s="201">
        <f t="shared" si="95"/>
        <v>4000</v>
      </c>
      <c r="R193" s="284">
        <f t="shared" si="96"/>
        <v>61.53846153846154</v>
      </c>
      <c r="S193" s="204">
        <f>+D193*E193</f>
        <v>4000</v>
      </c>
      <c r="T193" s="204">
        <f>+S193-F193</f>
        <v>0</v>
      </c>
      <c r="Z193" s="205">
        <v>0.25</v>
      </c>
      <c r="AA193" s="205">
        <v>0.25</v>
      </c>
      <c r="AB193" s="205">
        <v>0.25</v>
      </c>
      <c r="AC193" s="205">
        <v>0.25</v>
      </c>
    </row>
    <row r="194" spans="1:253">
      <c r="A194" s="195"/>
      <c r="B194" s="196"/>
      <c r="C194" s="143"/>
      <c r="D194" s="216"/>
      <c r="E194" s="202"/>
      <c r="F194" s="201">
        <f t="shared" ref="F194:F195" si="98">ROUND(E194*D194,0)</f>
        <v>0</v>
      </c>
      <c r="G194" s="201">
        <v>0</v>
      </c>
      <c r="H194" s="201">
        <f t="shared" si="89"/>
        <v>0</v>
      </c>
      <c r="I194" s="201">
        <v>0</v>
      </c>
      <c r="J194" s="201">
        <f t="shared" si="90"/>
        <v>0</v>
      </c>
      <c r="K194" s="200">
        <f>J194/$D$2</f>
        <v>0</v>
      </c>
      <c r="L194" s="201">
        <v>0</v>
      </c>
      <c r="M194" s="201">
        <f t="shared" si="92"/>
        <v>0</v>
      </c>
      <c r="N194" s="202">
        <v>0</v>
      </c>
      <c r="O194" s="201">
        <f t="shared" si="93"/>
        <v>0</v>
      </c>
      <c r="P194" s="203">
        <f t="shared" si="94"/>
        <v>0</v>
      </c>
      <c r="Q194" s="201">
        <f t="shared" si="95"/>
        <v>0</v>
      </c>
      <c r="R194" s="284">
        <f>+Q194/DollarLC</f>
        <v>0</v>
      </c>
      <c r="S194" s="204"/>
      <c r="T194" s="204"/>
      <c r="Z194" s="205"/>
      <c r="AA194" s="205"/>
      <c r="AB194" s="205"/>
      <c r="AC194" s="205"/>
    </row>
    <row r="195" spans="1:253">
      <c r="A195" s="195"/>
      <c r="B195" s="196"/>
      <c r="C195" s="143"/>
      <c r="D195" s="216"/>
      <c r="E195" s="202"/>
      <c r="F195" s="201">
        <f t="shared" si="98"/>
        <v>0</v>
      </c>
      <c r="G195" s="201">
        <v>0</v>
      </c>
      <c r="H195" s="201">
        <f t="shared" si="89"/>
        <v>0</v>
      </c>
      <c r="I195" s="201">
        <v>0</v>
      </c>
      <c r="J195" s="201">
        <f t="shared" si="90"/>
        <v>0</v>
      </c>
      <c r="K195" s="200">
        <f>J195/$D$2</f>
        <v>0</v>
      </c>
      <c r="L195" s="201">
        <v>0</v>
      </c>
      <c r="M195" s="201">
        <f t="shared" si="92"/>
        <v>0</v>
      </c>
      <c r="N195" s="202">
        <v>0</v>
      </c>
      <c r="O195" s="201">
        <f t="shared" si="93"/>
        <v>0</v>
      </c>
      <c r="P195" s="203">
        <f t="shared" si="94"/>
        <v>0</v>
      </c>
      <c r="Q195" s="201">
        <f t="shared" si="95"/>
        <v>0</v>
      </c>
      <c r="R195" s="284">
        <f>+Q195/DollarLC</f>
        <v>0</v>
      </c>
      <c r="S195" s="204"/>
      <c r="T195" s="204"/>
      <c r="Z195" s="205"/>
      <c r="AA195" s="205"/>
      <c r="AB195" s="205"/>
      <c r="AC195" s="205"/>
    </row>
    <row r="196" spans="1:253" s="332" customFormat="1">
      <c r="A196" s="317"/>
      <c r="B196" s="318" t="s">
        <v>20</v>
      </c>
      <c r="C196" s="319"/>
      <c r="D196" s="320"/>
      <c r="E196" s="321"/>
      <c r="F196" s="322">
        <f>SUM(F189:F195)</f>
        <v>100000</v>
      </c>
      <c r="G196" s="322"/>
      <c r="H196" s="322">
        <f>SUM(H189:H195)</f>
        <v>0</v>
      </c>
      <c r="I196" s="322"/>
      <c r="J196" s="322">
        <f>SUM(J189:J195)</f>
        <v>0</v>
      </c>
      <c r="K196" s="322">
        <f>SUM(K189:K195)</f>
        <v>0</v>
      </c>
      <c r="L196" s="322"/>
      <c r="M196" s="322">
        <f>SUM(M189:M195)</f>
        <v>0</v>
      </c>
      <c r="N196" s="321"/>
      <c r="O196" s="322">
        <f>SUM(O189:O195)</f>
        <v>0</v>
      </c>
      <c r="P196" s="324"/>
      <c r="Q196" s="322">
        <f t="shared" si="95"/>
        <v>100000</v>
      </c>
      <c r="R196" s="325">
        <f>SUM(R189:R195)</f>
        <v>1538.4615384615381</v>
      </c>
      <c r="S196" s="326" t="s">
        <v>5</v>
      </c>
      <c r="T196" s="326"/>
      <c r="U196" s="333"/>
      <c r="V196" s="327"/>
      <c r="W196" s="327"/>
      <c r="X196" s="328"/>
      <c r="Y196" s="329"/>
      <c r="Z196" s="329"/>
      <c r="AA196" s="329"/>
      <c r="AB196" s="329"/>
      <c r="AC196" s="329"/>
      <c r="AD196" s="329"/>
      <c r="AE196" s="329"/>
      <c r="AF196" s="329"/>
      <c r="AG196" s="329"/>
      <c r="AH196" s="329"/>
      <c r="AI196" s="329"/>
      <c r="AJ196" s="329"/>
      <c r="AK196" s="329"/>
      <c r="AL196" s="329"/>
      <c r="AM196" s="329"/>
      <c r="AN196" s="329"/>
      <c r="AO196" s="329"/>
      <c r="AP196" s="329"/>
      <c r="AQ196" s="329"/>
      <c r="AR196" s="329"/>
      <c r="AS196" s="329"/>
      <c r="AT196" s="329"/>
      <c r="AU196" s="329"/>
      <c r="AV196" s="329"/>
      <c r="AW196" s="329"/>
      <c r="AX196" s="329"/>
      <c r="AY196" s="329"/>
      <c r="AZ196" s="329"/>
      <c r="BA196" s="329"/>
      <c r="BB196" s="329"/>
      <c r="BC196" s="329"/>
      <c r="BD196" s="329"/>
      <c r="BE196" s="329"/>
      <c r="BF196" s="329"/>
      <c r="BG196" s="329"/>
      <c r="BH196" s="329"/>
      <c r="BI196" s="329"/>
      <c r="BJ196" s="329"/>
      <c r="BK196" s="329"/>
      <c r="BL196" s="329"/>
      <c r="BM196" s="329"/>
      <c r="BN196" s="329"/>
      <c r="BO196" s="329"/>
      <c r="BP196" s="329"/>
      <c r="BQ196" s="329"/>
      <c r="BR196" s="329"/>
      <c r="BS196" s="329"/>
      <c r="BT196" s="329"/>
      <c r="BU196" s="329"/>
      <c r="BV196" s="329"/>
      <c r="BW196" s="329"/>
      <c r="BX196" s="329"/>
      <c r="BY196" s="329"/>
      <c r="BZ196" s="329"/>
      <c r="CA196" s="329"/>
      <c r="CB196" s="329"/>
      <c r="CC196" s="329"/>
      <c r="CD196" s="329"/>
      <c r="CE196" s="329"/>
      <c r="CF196" s="329"/>
      <c r="CG196" s="329"/>
      <c r="CH196" s="329"/>
      <c r="CI196" s="329"/>
      <c r="CJ196" s="329"/>
      <c r="CK196" s="329"/>
      <c r="CL196" s="329"/>
      <c r="CM196" s="329"/>
      <c r="CN196" s="329"/>
      <c r="CO196" s="329"/>
      <c r="CP196" s="329"/>
      <c r="CQ196" s="329"/>
      <c r="CR196" s="329"/>
      <c r="CS196" s="329"/>
      <c r="CT196" s="329"/>
      <c r="CU196" s="329"/>
      <c r="CV196" s="329"/>
      <c r="CW196" s="329"/>
      <c r="CX196" s="329"/>
      <c r="CY196" s="329"/>
      <c r="CZ196" s="329"/>
      <c r="DA196" s="329"/>
      <c r="DB196" s="329"/>
      <c r="DC196" s="329"/>
      <c r="DD196" s="329"/>
      <c r="DE196" s="329"/>
      <c r="DF196" s="329"/>
      <c r="DG196" s="329"/>
      <c r="DH196" s="329"/>
      <c r="DI196" s="329"/>
      <c r="DJ196" s="329"/>
      <c r="DK196" s="329"/>
      <c r="DL196" s="329"/>
      <c r="DM196" s="329"/>
      <c r="DN196" s="329"/>
      <c r="DO196" s="329"/>
      <c r="DP196" s="329"/>
      <c r="DQ196" s="329"/>
      <c r="DR196" s="329"/>
      <c r="DS196" s="329"/>
      <c r="DT196" s="329"/>
      <c r="DU196" s="329"/>
      <c r="DV196" s="329"/>
      <c r="DW196" s="329"/>
      <c r="DX196" s="329"/>
      <c r="DY196" s="329"/>
      <c r="DZ196" s="329"/>
      <c r="EA196" s="329"/>
      <c r="EB196" s="329"/>
      <c r="EC196" s="329"/>
      <c r="ED196" s="329"/>
      <c r="EE196" s="329"/>
      <c r="EF196" s="329"/>
      <c r="EG196" s="329"/>
      <c r="EH196" s="329"/>
      <c r="EI196" s="329"/>
      <c r="EJ196" s="329"/>
      <c r="EK196" s="329"/>
      <c r="EL196" s="329"/>
      <c r="EM196" s="329"/>
      <c r="EN196" s="329"/>
      <c r="EO196" s="329"/>
      <c r="EP196" s="329"/>
      <c r="EQ196" s="329"/>
      <c r="ER196" s="329"/>
      <c r="ES196" s="329"/>
      <c r="ET196" s="329"/>
      <c r="EU196" s="329"/>
      <c r="EV196" s="329"/>
      <c r="EW196" s="329"/>
      <c r="EX196" s="329"/>
      <c r="EY196" s="329"/>
      <c r="EZ196" s="329"/>
      <c r="FA196" s="329"/>
      <c r="FB196" s="329"/>
      <c r="FC196" s="329"/>
      <c r="FD196" s="329"/>
      <c r="FE196" s="329"/>
      <c r="FF196" s="329"/>
      <c r="FG196" s="329"/>
      <c r="FH196" s="329"/>
      <c r="FI196" s="329"/>
      <c r="FJ196" s="329"/>
      <c r="FK196" s="329"/>
      <c r="FL196" s="329"/>
      <c r="FM196" s="329"/>
      <c r="FN196" s="329"/>
      <c r="FO196" s="329"/>
      <c r="FP196" s="329"/>
      <c r="FQ196" s="329"/>
      <c r="FR196" s="329"/>
      <c r="FS196" s="329"/>
      <c r="FT196" s="329"/>
      <c r="FU196" s="329"/>
      <c r="FV196" s="329"/>
      <c r="FW196" s="329"/>
      <c r="FX196" s="329"/>
      <c r="FY196" s="329"/>
      <c r="FZ196" s="329"/>
      <c r="GA196" s="329"/>
      <c r="GB196" s="329"/>
      <c r="GC196" s="329"/>
      <c r="GD196" s="329"/>
      <c r="GE196" s="329"/>
      <c r="GF196" s="329"/>
      <c r="GG196" s="329"/>
      <c r="GH196" s="329"/>
      <c r="GI196" s="329"/>
      <c r="GJ196" s="329"/>
      <c r="GK196" s="329"/>
      <c r="GL196" s="329"/>
      <c r="GM196" s="329"/>
      <c r="GN196" s="329"/>
      <c r="GO196" s="329"/>
      <c r="GP196" s="329"/>
      <c r="GQ196" s="329"/>
      <c r="GR196" s="329"/>
      <c r="GS196" s="329"/>
      <c r="GT196" s="329"/>
      <c r="GU196" s="329"/>
      <c r="GV196" s="329"/>
      <c r="GW196" s="329"/>
      <c r="GX196" s="329"/>
      <c r="GY196" s="329"/>
      <c r="GZ196" s="329"/>
      <c r="HA196" s="329"/>
      <c r="HB196" s="329"/>
      <c r="HC196" s="329"/>
      <c r="HD196" s="329"/>
      <c r="HE196" s="329"/>
      <c r="HF196" s="329"/>
      <c r="HG196" s="329"/>
      <c r="HH196" s="329"/>
      <c r="HI196" s="329"/>
      <c r="HJ196" s="329"/>
      <c r="HK196" s="329"/>
      <c r="HL196" s="329"/>
      <c r="HM196" s="329"/>
      <c r="HN196" s="329"/>
      <c r="HO196" s="329"/>
      <c r="HP196" s="329"/>
      <c r="HQ196" s="329"/>
      <c r="HR196" s="329"/>
      <c r="HS196" s="329"/>
      <c r="HT196" s="329"/>
      <c r="HU196" s="329"/>
      <c r="HV196" s="329"/>
      <c r="HW196" s="329"/>
      <c r="HX196" s="329"/>
      <c r="HY196" s="329"/>
      <c r="HZ196" s="329"/>
      <c r="IA196" s="329"/>
      <c r="IB196" s="329"/>
      <c r="IC196" s="329"/>
      <c r="ID196" s="329"/>
      <c r="IE196" s="329"/>
      <c r="IF196" s="329"/>
      <c r="IG196" s="329"/>
      <c r="IH196" s="329"/>
      <c r="II196" s="329"/>
      <c r="IJ196" s="329"/>
      <c r="IK196" s="329"/>
      <c r="IL196" s="329"/>
      <c r="IM196" s="329"/>
      <c r="IN196" s="329"/>
      <c r="IO196" s="329"/>
      <c r="IP196" s="329"/>
      <c r="IQ196" s="329"/>
      <c r="IR196" s="329"/>
      <c r="IS196" s="329"/>
    </row>
    <row r="197" spans="1:253" ht="14.4" thickBot="1">
      <c r="A197" s="237"/>
      <c r="B197" s="238"/>
      <c r="C197" s="146"/>
      <c r="D197" s="239"/>
      <c r="E197" s="240"/>
      <c r="F197" s="241"/>
      <c r="G197" s="241"/>
      <c r="H197" s="241"/>
      <c r="I197" s="241"/>
      <c r="J197" s="241"/>
      <c r="K197" s="242"/>
      <c r="L197" s="241"/>
      <c r="M197" s="241"/>
      <c r="N197" s="240"/>
      <c r="O197" s="241"/>
      <c r="P197" s="243"/>
      <c r="Q197" s="244"/>
      <c r="R197" s="245"/>
      <c r="S197" s="246"/>
      <c r="T197" s="246"/>
      <c r="U197" s="193"/>
      <c r="V197" s="193"/>
      <c r="W197" s="193"/>
      <c r="X197" s="214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15"/>
      <c r="BY197" s="215"/>
      <c r="BZ197" s="215"/>
      <c r="CA197" s="215"/>
      <c r="CB197" s="215"/>
      <c r="CC197" s="215"/>
      <c r="CD197" s="215"/>
      <c r="CE197" s="215"/>
      <c r="CF197" s="215"/>
      <c r="CG197" s="215"/>
      <c r="CH197" s="215"/>
      <c r="CI197" s="215"/>
      <c r="CJ197" s="215"/>
      <c r="CK197" s="215"/>
      <c r="CL197" s="215"/>
      <c r="CM197" s="215"/>
      <c r="CN197" s="215"/>
      <c r="CO197" s="215"/>
      <c r="CP197" s="215"/>
      <c r="CQ197" s="215"/>
      <c r="CR197" s="215"/>
      <c r="CS197" s="215"/>
      <c r="CT197" s="215"/>
      <c r="CU197" s="215"/>
      <c r="CV197" s="215"/>
      <c r="CW197" s="215"/>
      <c r="CX197" s="215"/>
      <c r="CY197" s="215"/>
      <c r="CZ197" s="215"/>
      <c r="DA197" s="215"/>
      <c r="DB197" s="215"/>
      <c r="DC197" s="215"/>
      <c r="DD197" s="215"/>
      <c r="DE197" s="215"/>
      <c r="DF197" s="215"/>
      <c r="DG197" s="215"/>
      <c r="DH197" s="215"/>
      <c r="DI197" s="215"/>
      <c r="DJ197" s="215"/>
      <c r="DK197" s="215"/>
      <c r="DL197" s="215"/>
      <c r="DM197" s="215"/>
      <c r="DN197" s="215"/>
      <c r="DO197" s="215"/>
      <c r="DP197" s="215"/>
      <c r="DQ197" s="215"/>
      <c r="DR197" s="215"/>
      <c r="DS197" s="215"/>
      <c r="DT197" s="215"/>
      <c r="DU197" s="215"/>
      <c r="DV197" s="215"/>
      <c r="DW197" s="215"/>
      <c r="DX197" s="215"/>
      <c r="DY197" s="215"/>
      <c r="DZ197" s="215"/>
      <c r="EA197" s="215"/>
      <c r="EB197" s="215"/>
      <c r="EC197" s="215"/>
      <c r="ED197" s="215"/>
      <c r="EE197" s="215"/>
      <c r="EF197" s="215"/>
      <c r="EG197" s="215"/>
      <c r="EH197" s="215"/>
      <c r="EI197" s="215"/>
      <c r="EJ197" s="215"/>
      <c r="EK197" s="215"/>
      <c r="EL197" s="215"/>
      <c r="EM197" s="215"/>
      <c r="EN197" s="215"/>
      <c r="EO197" s="215"/>
      <c r="EP197" s="215"/>
      <c r="EQ197" s="215"/>
      <c r="ER197" s="215"/>
      <c r="ES197" s="215"/>
      <c r="ET197" s="215"/>
      <c r="EU197" s="215"/>
      <c r="EV197" s="215"/>
      <c r="EW197" s="215"/>
      <c r="EX197" s="215"/>
      <c r="EY197" s="215"/>
      <c r="EZ197" s="215"/>
      <c r="FA197" s="215"/>
      <c r="FB197" s="215"/>
      <c r="FC197" s="215"/>
      <c r="FD197" s="215"/>
      <c r="FE197" s="215"/>
      <c r="FF197" s="215"/>
      <c r="FG197" s="215"/>
      <c r="FH197" s="215"/>
      <c r="FI197" s="215"/>
      <c r="FJ197" s="215"/>
      <c r="FK197" s="215"/>
      <c r="FL197" s="215"/>
      <c r="FM197" s="215"/>
      <c r="FN197" s="215"/>
      <c r="FO197" s="215"/>
      <c r="FP197" s="215"/>
      <c r="FQ197" s="215"/>
      <c r="FR197" s="215"/>
      <c r="FS197" s="215"/>
      <c r="FT197" s="215"/>
      <c r="FU197" s="215"/>
      <c r="FV197" s="215"/>
      <c r="FW197" s="215"/>
      <c r="FX197" s="215"/>
      <c r="FY197" s="215"/>
      <c r="FZ197" s="215"/>
      <c r="GA197" s="215"/>
      <c r="GB197" s="215"/>
      <c r="GC197" s="215"/>
      <c r="GD197" s="215"/>
      <c r="GE197" s="215"/>
      <c r="GF197" s="215"/>
      <c r="GG197" s="215"/>
      <c r="GH197" s="215"/>
      <c r="GI197" s="215"/>
      <c r="GJ197" s="215"/>
      <c r="GK197" s="215"/>
      <c r="GL197" s="215"/>
      <c r="GM197" s="215"/>
      <c r="GN197" s="215"/>
      <c r="GO197" s="215"/>
      <c r="GP197" s="215"/>
      <c r="GQ197" s="215"/>
      <c r="GR197" s="215"/>
      <c r="GS197" s="215"/>
      <c r="GT197" s="215"/>
      <c r="GU197" s="215"/>
      <c r="GV197" s="215"/>
      <c r="GW197" s="215"/>
      <c r="GX197" s="215"/>
      <c r="GY197" s="215"/>
      <c r="GZ197" s="215"/>
      <c r="HA197" s="215"/>
      <c r="HB197" s="215"/>
      <c r="HC197" s="215"/>
      <c r="HD197" s="215"/>
      <c r="HE197" s="215"/>
      <c r="HF197" s="215"/>
      <c r="HG197" s="215"/>
      <c r="HH197" s="215"/>
      <c r="HI197" s="215"/>
      <c r="HJ197" s="215"/>
      <c r="HK197" s="215"/>
      <c r="HL197" s="215"/>
      <c r="HM197" s="215"/>
      <c r="HN197" s="215"/>
      <c r="HO197" s="215"/>
      <c r="HP197" s="215"/>
      <c r="HQ197" s="215"/>
      <c r="HR197" s="215"/>
      <c r="HS197" s="215"/>
      <c r="HT197" s="215"/>
      <c r="HU197" s="215"/>
      <c r="HV197" s="215"/>
      <c r="HW197" s="215"/>
      <c r="HX197" s="215"/>
      <c r="HY197" s="215"/>
      <c r="HZ197" s="215"/>
      <c r="IA197" s="215"/>
      <c r="IB197" s="215"/>
      <c r="IC197" s="215"/>
      <c r="ID197" s="215"/>
      <c r="IE197" s="215"/>
      <c r="IF197" s="215"/>
      <c r="IG197" s="215"/>
      <c r="IH197" s="215"/>
      <c r="II197" s="215"/>
      <c r="IJ197" s="215"/>
      <c r="IK197" s="215"/>
      <c r="IL197" s="215"/>
      <c r="IM197" s="215"/>
      <c r="IN197" s="215"/>
      <c r="IO197" s="215"/>
      <c r="IP197" s="215"/>
      <c r="IQ197" s="215"/>
      <c r="IR197" s="215"/>
      <c r="IS197" s="215"/>
    </row>
    <row r="198" spans="1:253" ht="14.4" thickTop="1">
      <c r="A198" s="195"/>
      <c r="B198" s="185"/>
      <c r="C198" s="143"/>
      <c r="D198" s="201"/>
      <c r="E198" s="202"/>
      <c r="F198" s="201"/>
      <c r="G198" s="201"/>
      <c r="H198" s="201"/>
      <c r="I198" s="201"/>
      <c r="J198" s="201"/>
      <c r="K198" s="217"/>
      <c r="L198" s="201"/>
      <c r="M198" s="201"/>
      <c r="N198" s="202"/>
      <c r="O198" s="201"/>
      <c r="P198" s="203"/>
      <c r="Q198" s="211"/>
      <c r="R198" s="249"/>
      <c r="S198" s="204"/>
      <c r="T198" s="204"/>
    </row>
    <row r="199" spans="1:253" s="194" customFormat="1">
      <c r="A199" s="247"/>
      <c r="B199" s="185" t="s">
        <v>377</v>
      </c>
      <c r="C199" s="145"/>
      <c r="D199" s="250">
        <f>NewOH</f>
        <v>0</v>
      </c>
      <c r="E199" s="225"/>
      <c r="F199" s="226"/>
      <c r="G199" s="226"/>
      <c r="H199" s="226"/>
      <c r="I199" s="226"/>
      <c r="J199" s="226"/>
      <c r="K199" s="226"/>
      <c r="L199" s="226"/>
      <c r="M199" s="226"/>
      <c r="N199" s="225"/>
      <c r="O199" s="226"/>
      <c r="P199" s="191"/>
      <c r="Q199" s="211"/>
      <c r="R199" s="258"/>
      <c r="S199" s="248"/>
      <c r="T199" s="248"/>
      <c r="U199" s="193"/>
      <c r="V199" s="193"/>
      <c r="W199" s="193"/>
      <c r="X199" s="193"/>
    </row>
    <row r="200" spans="1:253" s="194" customFormat="1">
      <c r="A200" s="247"/>
      <c r="B200" s="185" t="s">
        <v>378</v>
      </c>
      <c r="C200" s="145"/>
      <c r="D200" s="250">
        <f>GandA</f>
        <v>0</v>
      </c>
      <c r="E200" s="225"/>
      <c r="F200" s="251"/>
      <c r="G200" s="226"/>
      <c r="H200" s="251"/>
      <c r="I200" s="226"/>
      <c r="J200" s="251"/>
      <c r="K200" s="251"/>
      <c r="L200" s="226"/>
      <c r="M200" s="252"/>
      <c r="N200" s="225"/>
      <c r="O200" s="252"/>
      <c r="P200" s="191"/>
      <c r="Q200" s="211"/>
      <c r="R200" s="285"/>
      <c r="S200" s="248"/>
      <c r="T200" s="248"/>
      <c r="U200" s="193"/>
      <c r="V200" s="193"/>
      <c r="W200" s="193"/>
      <c r="X200" s="193"/>
    </row>
    <row r="201" spans="1:253">
      <c r="A201" s="195"/>
      <c r="B201" s="253" t="s">
        <v>359</v>
      </c>
      <c r="C201" s="143"/>
      <c r="D201" s="201"/>
      <c r="E201" s="202"/>
      <c r="F201" s="211"/>
      <c r="G201" s="254"/>
      <c r="H201" s="211"/>
      <c r="I201" s="254"/>
      <c r="J201" s="211"/>
      <c r="K201" s="211"/>
      <c r="L201" s="254"/>
      <c r="M201" s="211"/>
      <c r="N201" s="255"/>
      <c r="O201" s="211"/>
      <c r="P201" s="256"/>
      <c r="Q201" s="211"/>
      <c r="R201" s="249"/>
      <c r="S201" s="204"/>
      <c r="T201" s="204"/>
    </row>
    <row r="202" spans="1:253">
      <c r="A202" s="195"/>
      <c r="B202" s="257"/>
      <c r="C202" s="143"/>
      <c r="D202" s="201"/>
      <c r="E202" s="202"/>
      <c r="F202" s="226"/>
      <c r="G202" s="201"/>
      <c r="H202" s="226"/>
      <c r="I202" s="201"/>
      <c r="J202" s="226"/>
      <c r="K202" s="227"/>
      <c r="L202" s="201"/>
      <c r="M202" s="226"/>
      <c r="N202" s="202"/>
      <c r="O202" s="226"/>
      <c r="P202" s="203"/>
      <c r="Q202" s="226"/>
      <c r="R202" s="258"/>
      <c r="S202" s="204"/>
      <c r="T202" s="204"/>
    </row>
    <row r="203" spans="1:253" ht="14.4" thickBot="1">
      <c r="A203" s="195"/>
      <c r="B203" s="259"/>
      <c r="C203" s="143"/>
      <c r="D203" s="201"/>
      <c r="E203" s="202"/>
      <c r="F203" s="201"/>
      <c r="G203" s="201"/>
      <c r="H203" s="201"/>
      <c r="I203" s="201"/>
      <c r="J203" s="201"/>
      <c r="K203" s="217"/>
      <c r="L203" s="201"/>
      <c r="M203" s="201"/>
      <c r="N203" s="202"/>
      <c r="O203" s="201"/>
      <c r="P203" s="203"/>
      <c r="Q203" s="211"/>
      <c r="R203" s="249"/>
      <c r="S203" s="204"/>
      <c r="T203" s="204"/>
    </row>
    <row r="204" spans="1:253" ht="14.4" thickTop="1">
      <c r="A204" s="261"/>
      <c r="B204" s="262"/>
      <c r="C204" s="263"/>
      <c r="D204" s="264"/>
      <c r="E204" s="265"/>
      <c r="F204" s="264"/>
      <c r="G204" s="265"/>
      <c r="H204" s="264"/>
      <c r="I204" s="265"/>
      <c r="J204" s="264"/>
      <c r="K204" s="266"/>
      <c r="L204" s="264"/>
      <c r="M204" s="264"/>
      <c r="N204" s="265"/>
      <c r="O204" s="264"/>
      <c r="P204" s="267"/>
      <c r="Q204" s="268"/>
      <c r="R204" s="269"/>
      <c r="S204" s="204"/>
      <c r="T204" s="204"/>
    </row>
    <row r="205" spans="1:253" s="332" customFormat="1">
      <c r="A205" s="337"/>
      <c r="B205" s="338" t="s">
        <v>360</v>
      </c>
      <c r="C205" s="319"/>
      <c r="D205" s="322"/>
      <c r="E205" s="321"/>
      <c r="F205" s="323">
        <f>SUM(F196,F184,F174,F86,F81,F75,F70,F43,F39,F15)</f>
        <v>3565678</v>
      </c>
      <c r="G205" s="322"/>
      <c r="H205" s="323">
        <f>SUM(H196,H184,H174,H86,H81,H75,H70,H43,H39,H15)</f>
        <v>0</v>
      </c>
      <c r="I205" s="322"/>
      <c r="J205" s="322" t="e">
        <f>SUM(#REF!,J201)</f>
        <v>#REF!</v>
      </c>
      <c r="K205" s="322" t="e">
        <f>SUM(#REF!,K201)</f>
        <v>#REF!</v>
      </c>
      <c r="L205" s="322"/>
      <c r="M205" s="323" t="e">
        <f>SUM(#REF!,M201)</f>
        <v>#REF!</v>
      </c>
      <c r="N205" s="322"/>
      <c r="O205" s="322" t="e">
        <f>SUM(#REF!,O201)</f>
        <v>#REF!</v>
      </c>
      <c r="P205" s="324"/>
      <c r="Q205" s="322" t="e">
        <f>O205+M205+J205+H205+F205</f>
        <v>#REF!</v>
      </c>
      <c r="R205" s="339" t="e">
        <f>+Q205/DollarLC</f>
        <v>#REF!</v>
      </c>
      <c r="S205" s="326"/>
      <c r="T205" s="326"/>
      <c r="U205" s="333"/>
      <c r="V205" s="333"/>
      <c r="W205" s="333"/>
      <c r="X205" s="333"/>
    </row>
    <row r="206" spans="1:253" ht="14.4" thickBot="1">
      <c r="A206" s="270"/>
      <c r="B206" s="271"/>
      <c r="C206" s="272"/>
      <c r="D206" s="244"/>
      <c r="E206" s="273"/>
      <c r="F206" s="244"/>
      <c r="G206" s="273"/>
      <c r="H206" s="244"/>
      <c r="I206" s="273"/>
      <c r="J206" s="244"/>
      <c r="K206" s="260"/>
      <c r="L206" s="244"/>
      <c r="M206" s="244"/>
      <c r="N206" s="273"/>
      <c r="O206" s="244"/>
      <c r="P206" s="243"/>
      <c r="Q206" s="241"/>
      <c r="R206" s="274"/>
      <c r="S206" s="204"/>
      <c r="T206" s="204"/>
    </row>
    <row r="207" spans="1:253" ht="14.4" thickTop="1">
      <c r="E207" s="140"/>
    </row>
    <row r="208" spans="1:253">
      <c r="H208" s="277"/>
      <c r="I208" s="278"/>
      <c r="J208" s="277"/>
      <c r="K208" s="277"/>
      <c r="L208" s="277"/>
      <c r="M208" s="277"/>
      <c r="N208" s="277"/>
      <c r="O208" s="277"/>
      <c r="P208" s="201"/>
    </row>
    <row r="209" spans="8:16">
      <c r="H209" s="211"/>
      <c r="I209" s="278"/>
      <c r="J209" s="277"/>
      <c r="K209" s="277"/>
      <c r="L209" s="277"/>
      <c r="M209" s="277"/>
      <c r="N209" s="277"/>
      <c r="O209" s="277"/>
      <c r="P209" s="201"/>
    </row>
    <row r="211" spans="8:16">
      <c r="H211" s="140"/>
    </row>
    <row r="212" spans="8:16">
      <c r="H212" s="140"/>
    </row>
    <row r="213" spans="8:16">
      <c r="H213" s="140"/>
    </row>
    <row r="214" spans="8:16">
      <c r="H214" s="140"/>
    </row>
  </sheetData>
  <mergeCells count="18">
    <mergeCell ref="E7:F7"/>
    <mergeCell ref="I7:K7"/>
    <mergeCell ref="A1:B1"/>
    <mergeCell ref="A2:B2"/>
    <mergeCell ref="A4:B4"/>
    <mergeCell ref="G7:H7"/>
    <mergeCell ref="A7:A9"/>
    <mergeCell ref="B7:B9"/>
    <mergeCell ref="D7:D9"/>
    <mergeCell ref="E8:E9"/>
    <mergeCell ref="C7:C9"/>
    <mergeCell ref="S7:T9"/>
    <mergeCell ref="G8:G9"/>
    <mergeCell ref="N7:O7"/>
    <mergeCell ref="J8:K8"/>
    <mergeCell ref="I8:I9"/>
    <mergeCell ref="L7:M7"/>
    <mergeCell ref="P7:Q7"/>
  </mergeCells>
  <phoneticPr fontId="10" type="noConversion"/>
  <printOptions horizontalCentered="1"/>
  <pageMargins left="0.5" right="0.5" top="0.5" bottom="0.5" header="0" footer="0"/>
  <pageSetup scale="27" orientation="portrait" r:id="rId1"/>
  <headerFooter alignWithMargins="0"/>
  <ignoredErrors>
    <ignoredError sqref="Q12:Q14 E1 F12:F14 F41 G15:G18 L16:Q19 F16:F19 H175 F45 N1:O1 E12:E18 D45:E46 L6:Q6 B43:B45 E3 Q1:Q3 Q10 E10:F10 G10:H14 J11:J14 M9:P14 I11:I15 L9:L15 N15 P15:Q15 L37:Q37 L44:P44 O45:Q47 M45:M47 H44:H47 F47 N45:N46 L45:L46 B68:C68 L174:O175 F186:F190 L85:O87 C43:C46 E41:E42 L41:Q41 D43:E43 L42:L43 N42:N43 P43:Q43 F175 F37 D44:F44 E6:F6 H85:H87 H186:H189 H81:H83 H37 H41 G6:H6 H16:H19 J85:J87 J174:J175 J44:J47 J37 J41 I6:J6 I16:J19 L39:P39 N7:Q7 J25:J32 L25:O32 S68 H76:H79 F192:F193 J186:J193 L186:O193 H71:H73 L76:O83 J76:J83 F76:F83 R45:S49 L70:O74 J71:J74 F71:F74 H84 L84:O84 J84 F84 F85:F87" formula="1"/>
    <ignoredError sqref="D12:D1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22" sqref="A22"/>
    </sheetView>
  </sheetViews>
  <sheetFormatPr defaultColWidth="8.7265625" defaultRowHeight="13.2"/>
  <cols>
    <col min="1" max="1" width="31.26953125" bestFit="1" customWidth="1"/>
    <col min="3" max="3" width="21.26953125" bestFit="1" customWidth="1"/>
    <col min="5" max="5" width="28.1796875" bestFit="1" customWidth="1"/>
    <col min="6" max="6" width="35.7265625" bestFit="1" customWidth="1"/>
    <col min="7" max="7" width="16.26953125" customWidth="1"/>
    <col min="8" max="8" width="12.7265625" bestFit="1" customWidth="1"/>
    <col min="10" max="10" width="12" style="131" bestFit="1" customWidth="1"/>
  </cols>
  <sheetData>
    <row r="1" spans="1:10">
      <c r="E1" s="375" t="s">
        <v>242</v>
      </c>
      <c r="F1" s="375"/>
      <c r="G1" s="375"/>
      <c r="H1" s="375"/>
      <c r="I1" s="375"/>
    </row>
    <row r="2" spans="1:10">
      <c r="A2" s="375" t="s">
        <v>236</v>
      </c>
      <c r="B2" s="375"/>
      <c r="E2" s="126"/>
      <c r="F2" s="126" t="s">
        <v>247</v>
      </c>
      <c r="G2" s="102" t="s">
        <v>361</v>
      </c>
      <c r="H2" s="102" t="s">
        <v>362</v>
      </c>
      <c r="I2" s="126" t="s">
        <v>245</v>
      </c>
      <c r="J2" s="132" t="s">
        <v>294</v>
      </c>
    </row>
    <row r="3" spans="1:10">
      <c r="A3" t="s">
        <v>237</v>
      </c>
      <c r="B3">
        <v>25</v>
      </c>
      <c r="E3" t="s">
        <v>243</v>
      </c>
      <c r="F3" s="1">
        <v>1</v>
      </c>
      <c r="G3" s="1">
        <f>B36</f>
        <v>2</v>
      </c>
      <c r="H3" s="1">
        <v>0</v>
      </c>
      <c r="I3" s="1">
        <v>0</v>
      </c>
      <c r="J3" s="131">
        <v>0</v>
      </c>
    </row>
    <row r="4" spans="1:10">
      <c r="A4" t="s">
        <v>238</v>
      </c>
      <c r="B4" s="59">
        <v>10</v>
      </c>
      <c r="E4" t="s">
        <v>244</v>
      </c>
      <c r="F4" s="134">
        <v>10</v>
      </c>
      <c r="G4" s="134">
        <f>(12*0.23) + (35*0.77)</f>
        <v>29.71</v>
      </c>
      <c r="H4" s="134">
        <f>(12*0.23) + (37*0.77)</f>
        <v>31.250000000000004</v>
      </c>
      <c r="I4" s="134">
        <f>(10*0.23) + (30*0.77)</f>
        <v>25.400000000000002</v>
      </c>
      <c r="J4" s="135">
        <v>40</v>
      </c>
    </row>
    <row r="5" spans="1:10">
      <c r="A5" t="s">
        <v>239</v>
      </c>
      <c r="B5">
        <v>3</v>
      </c>
      <c r="E5" t="s">
        <v>246</v>
      </c>
      <c r="F5">
        <f>7*3*(F4*50%/30)</f>
        <v>3.5</v>
      </c>
      <c r="G5">
        <v>1</v>
      </c>
      <c r="H5">
        <v>1</v>
      </c>
      <c r="I5">
        <f>F11/B3</f>
        <v>2.4</v>
      </c>
      <c r="J5" s="131">
        <f>F12/B3</f>
        <v>0.28000000000000003</v>
      </c>
    </row>
    <row r="6" spans="1:10">
      <c r="A6" t="s">
        <v>240</v>
      </c>
      <c r="B6">
        <v>5</v>
      </c>
      <c r="E6" s="127" t="s">
        <v>250</v>
      </c>
      <c r="F6" s="127">
        <f>F5*F4*1</f>
        <v>35</v>
      </c>
      <c r="G6" s="127">
        <f>G3*G4*G5</f>
        <v>59.42</v>
      </c>
      <c r="H6" s="127">
        <f>H3*H4*H5</f>
        <v>0</v>
      </c>
      <c r="I6" s="127">
        <f>I3*I4*I5</f>
        <v>0</v>
      </c>
      <c r="J6" s="133">
        <f>J3*J4*J5</f>
        <v>0</v>
      </c>
    </row>
    <row r="7" spans="1:10">
      <c r="A7" s="125" t="s">
        <v>241</v>
      </c>
      <c r="B7" s="125">
        <f>B3*B4*B5*B6</f>
        <v>3750</v>
      </c>
      <c r="E7" t="s">
        <v>248</v>
      </c>
      <c r="F7">
        <f>B3*B4</f>
        <v>250</v>
      </c>
      <c r="G7">
        <f>B3*B4</f>
        <v>250</v>
      </c>
      <c r="H7">
        <f>B13</f>
        <v>0</v>
      </c>
      <c r="I7">
        <f>B3*B4*0</f>
        <v>0</v>
      </c>
      <c r="J7">
        <f>B3*B4*0</f>
        <v>0</v>
      </c>
    </row>
    <row r="8" spans="1:10">
      <c r="A8" t="s">
        <v>337</v>
      </c>
      <c r="B8">
        <v>8</v>
      </c>
      <c r="E8" t="s">
        <v>249</v>
      </c>
      <c r="F8">
        <f>F7*F6</f>
        <v>8750</v>
      </c>
      <c r="G8">
        <f>G7*G6</f>
        <v>14855</v>
      </c>
      <c r="H8">
        <f>H7*H6</f>
        <v>0</v>
      </c>
      <c r="I8">
        <f>I7*I6</f>
        <v>0</v>
      </c>
      <c r="J8" s="131">
        <f>J6*J7</f>
        <v>0</v>
      </c>
    </row>
    <row r="9" spans="1:10">
      <c r="E9" s="127" t="s">
        <v>85</v>
      </c>
      <c r="F9" s="127">
        <f>SUM(F8:J8)</f>
        <v>23605</v>
      </c>
    </row>
    <row r="10" spans="1:10">
      <c r="A10" s="375" t="s">
        <v>251</v>
      </c>
      <c r="B10" s="375"/>
    </row>
    <row r="11" spans="1:10">
      <c r="A11" t="s">
        <v>252</v>
      </c>
      <c r="B11">
        <v>0</v>
      </c>
      <c r="E11" t="s">
        <v>273</v>
      </c>
      <c r="F11">
        <v>60</v>
      </c>
    </row>
    <row r="12" spans="1:10">
      <c r="A12" t="s">
        <v>253</v>
      </c>
      <c r="B12">
        <v>2</v>
      </c>
      <c r="E12" t="s">
        <v>295</v>
      </c>
      <c r="F12">
        <v>7</v>
      </c>
    </row>
    <row r="13" spans="1:10">
      <c r="A13" s="125" t="s">
        <v>254</v>
      </c>
      <c r="B13" s="125">
        <f>B11*B12</f>
        <v>0</v>
      </c>
    </row>
    <row r="16" spans="1:10">
      <c r="A16" s="375" t="s">
        <v>255</v>
      </c>
      <c r="B16" s="375"/>
      <c r="C16" s="375"/>
      <c r="D16" s="375"/>
      <c r="F16" s="375" t="s">
        <v>259</v>
      </c>
      <c r="G16" s="375"/>
    </row>
    <row r="17" spans="1:7">
      <c r="A17" s="375" t="s">
        <v>256</v>
      </c>
      <c r="B17" s="375"/>
      <c r="F17" t="s">
        <v>260</v>
      </c>
      <c r="G17">
        <v>240</v>
      </c>
    </row>
    <row r="18" spans="1:7">
      <c r="A18" t="s">
        <v>327</v>
      </c>
      <c r="B18">
        <v>5</v>
      </c>
      <c r="F18" s="125" t="s">
        <v>217</v>
      </c>
      <c r="G18" s="125">
        <f>G17*B4</f>
        <v>2400</v>
      </c>
    </row>
    <row r="19" spans="1:7">
      <c r="A19" t="s">
        <v>330</v>
      </c>
      <c r="B19">
        <v>4</v>
      </c>
      <c r="C19" s="125" t="s">
        <v>257</v>
      </c>
      <c r="D19" s="125">
        <f>B18*B19*B4</f>
        <v>200</v>
      </c>
    </row>
    <row r="20" spans="1:7">
      <c r="A20" s="151" t="s">
        <v>328</v>
      </c>
      <c r="B20" s="151">
        <v>30</v>
      </c>
      <c r="C20" s="151" t="s">
        <v>258</v>
      </c>
      <c r="D20" s="151">
        <f>D19*B20</f>
        <v>6000</v>
      </c>
    </row>
    <row r="21" spans="1:7">
      <c r="A21" t="s">
        <v>391</v>
      </c>
      <c r="B21">
        <f>B18</f>
        <v>5</v>
      </c>
    </row>
    <row r="22" spans="1:7">
      <c r="A22" t="s">
        <v>329</v>
      </c>
      <c r="B22">
        <v>1</v>
      </c>
      <c r="C22" s="125" t="s">
        <v>257</v>
      </c>
      <c r="D22" s="125">
        <f>B21*B22*B4</f>
        <v>50</v>
      </c>
    </row>
    <row r="23" spans="1:7">
      <c r="A23" s="151" t="s">
        <v>328</v>
      </c>
      <c r="B23" s="151">
        <v>30</v>
      </c>
      <c r="C23" s="151" t="s">
        <v>258</v>
      </c>
      <c r="D23" s="151">
        <f>D22*B23</f>
        <v>1500</v>
      </c>
    </row>
    <row r="24" spans="1:7">
      <c r="E24" s="153"/>
    </row>
    <row r="26" spans="1:7">
      <c r="A26" s="376" t="s">
        <v>314</v>
      </c>
      <c r="B26" s="375"/>
      <c r="F26" s="375" t="s">
        <v>283</v>
      </c>
      <c r="G26" s="375"/>
    </row>
    <row r="27" spans="1:7">
      <c r="A27" t="s">
        <v>261</v>
      </c>
      <c r="B27">
        <v>6</v>
      </c>
      <c r="F27" t="s">
        <v>281</v>
      </c>
      <c r="G27">
        <v>80</v>
      </c>
    </row>
    <row r="28" spans="1:7">
      <c r="A28" t="s">
        <v>262</v>
      </c>
      <c r="B28">
        <v>4</v>
      </c>
      <c r="C28" s="125" t="s">
        <v>320</v>
      </c>
      <c r="D28" s="125">
        <f>B27*B28*B4</f>
        <v>240</v>
      </c>
      <c r="F28" t="s">
        <v>282</v>
      </c>
      <c r="G28">
        <v>25</v>
      </c>
    </row>
    <row r="29" spans="1:7">
      <c r="A29" s="151" t="s">
        <v>298</v>
      </c>
      <c r="B29" s="151">
        <v>75</v>
      </c>
      <c r="C29" s="151" t="s">
        <v>322</v>
      </c>
      <c r="D29" s="151">
        <f>D28*B29</f>
        <v>18000</v>
      </c>
      <c r="F29" s="125" t="s">
        <v>286</v>
      </c>
      <c r="G29" s="125">
        <f>G27*G28</f>
        <v>2000</v>
      </c>
    </row>
    <row r="30" spans="1:7">
      <c r="A30" t="s">
        <v>324</v>
      </c>
      <c r="B30" s="6">
        <f>B27</f>
        <v>6</v>
      </c>
      <c r="C30" s="6"/>
      <c r="D30" s="6"/>
      <c r="F30" s="6"/>
      <c r="G30" s="6"/>
    </row>
    <row r="31" spans="1:7">
      <c r="A31" t="s">
        <v>325</v>
      </c>
      <c r="B31" s="6">
        <v>1</v>
      </c>
      <c r="C31" t="s">
        <v>321</v>
      </c>
      <c r="D31">
        <f>B31*B30*B4</f>
        <v>60</v>
      </c>
      <c r="F31" s="6"/>
      <c r="G31" s="6"/>
    </row>
    <row r="32" spans="1:7">
      <c r="A32" s="151" t="s">
        <v>326</v>
      </c>
      <c r="B32" s="151">
        <v>75</v>
      </c>
      <c r="C32" s="151" t="s">
        <v>323</v>
      </c>
      <c r="D32" s="151">
        <f>D31*B32</f>
        <v>4500</v>
      </c>
      <c r="F32" s="6"/>
      <c r="G32" s="6"/>
    </row>
    <row r="33" spans="1:7" ht="12" customHeight="1">
      <c r="F33" s="6"/>
      <c r="G33" s="6"/>
    </row>
    <row r="35" spans="1:7">
      <c r="A35" s="375" t="s">
        <v>263</v>
      </c>
      <c r="B35" s="375"/>
    </row>
    <row r="36" spans="1:7">
      <c r="A36" t="s">
        <v>264</v>
      </c>
      <c r="B36">
        <v>2</v>
      </c>
    </row>
    <row r="37" spans="1:7">
      <c r="A37" t="s">
        <v>265</v>
      </c>
      <c r="B37">
        <f>B3</f>
        <v>25</v>
      </c>
    </row>
    <row r="38" spans="1:7">
      <c r="A38" t="s">
        <v>266</v>
      </c>
      <c r="B38">
        <v>4</v>
      </c>
    </row>
    <row r="39" spans="1:7">
      <c r="A39" t="s">
        <v>267</v>
      </c>
      <c r="B39">
        <f>(B36*B37)/B38</f>
        <v>12.5</v>
      </c>
      <c r="C39" s="125" t="s">
        <v>320</v>
      </c>
      <c r="D39">
        <f>B40</f>
        <v>125</v>
      </c>
    </row>
    <row r="40" spans="1:7">
      <c r="A40" s="127" t="s">
        <v>338</v>
      </c>
      <c r="B40" s="127">
        <f>B39*B4</f>
        <v>125</v>
      </c>
      <c r="C40" s="151" t="s">
        <v>322</v>
      </c>
      <c r="D40">
        <f>D39*10</f>
        <v>1250</v>
      </c>
      <c r="F40" s="378" t="s">
        <v>375</v>
      </c>
      <c r="G40" s="379"/>
    </row>
    <row r="41" spans="1:7">
      <c r="A41" s="6"/>
      <c r="B41" s="6"/>
      <c r="F41" s="281" t="s">
        <v>374</v>
      </c>
      <c r="G41" s="59">
        <f>55*4*(B3/3)*B5*B6</f>
        <v>27500</v>
      </c>
    </row>
    <row r="42" spans="1:7">
      <c r="A42" s="377" t="s">
        <v>331</v>
      </c>
      <c r="B42" s="377"/>
      <c r="C42" s="377"/>
      <c r="D42" s="377"/>
      <c r="F42" s="281" t="s">
        <v>370</v>
      </c>
      <c r="G42" s="59">
        <v>4000</v>
      </c>
    </row>
    <row r="43" spans="1:7">
      <c r="A43" t="s">
        <v>332</v>
      </c>
      <c r="B43">
        <v>1</v>
      </c>
      <c r="C43" t="s">
        <v>353</v>
      </c>
      <c r="D43">
        <v>10</v>
      </c>
      <c r="F43" s="281" t="s">
        <v>371</v>
      </c>
      <c r="G43" s="59">
        <v>10000</v>
      </c>
    </row>
    <row r="44" spans="1:7">
      <c r="A44" t="s">
        <v>333</v>
      </c>
      <c r="B44">
        <v>30</v>
      </c>
      <c r="F44" s="128"/>
    </row>
    <row r="45" spans="1:7">
      <c r="A45" s="151" t="s">
        <v>334</v>
      </c>
      <c r="B45" s="151">
        <f>B43*B44</f>
        <v>30</v>
      </c>
      <c r="C45" s="151"/>
      <c r="D45" s="151"/>
      <c r="F45" s="128"/>
    </row>
    <row r="46" spans="1:7">
      <c r="A46" t="s">
        <v>335</v>
      </c>
      <c r="B46" s="59">
        <f>B45*B4</f>
        <v>300</v>
      </c>
      <c r="C46" t="s">
        <v>336</v>
      </c>
      <c r="D46">
        <f>D43*B46</f>
        <v>3000</v>
      </c>
      <c r="F46" s="128"/>
    </row>
    <row r="47" spans="1:7">
      <c r="B47" s="59"/>
      <c r="F47" s="147"/>
    </row>
    <row r="48" spans="1:7">
      <c r="A48" s="376" t="s">
        <v>347</v>
      </c>
      <c r="B48" s="376"/>
      <c r="F48" s="147"/>
    </row>
    <row r="49" spans="1:7">
      <c r="A49" t="s">
        <v>348</v>
      </c>
      <c r="B49" s="59">
        <v>4</v>
      </c>
      <c r="F49" s="147"/>
    </row>
    <row r="50" spans="1:7">
      <c r="A50" s="125" t="s">
        <v>349</v>
      </c>
      <c r="B50" s="152">
        <f>B49*B4*B5*B6</f>
        <v>600</v>
      </c>
      <c r="C50" s="125" t="s">
        <v>350</v>
      </c>
      <c r="D50" s="125">
        <f>B50*10</f>
        <v>6000</v>
      </c>
      <c r="F50" s="147"/>
    </row>
    <row r="51" spans="1:7">
      <c r="F51" s="128"/>
    </row>
    <row r="52" spans="1:7">
      <c r="A52" s="375" t="s">
        <v>269</v>
      </c>
      <c r="B52" s="375"/>
      <c r="F52" s="128"/>
    </row>
    <row r="53" spans="1:7">
      <c r="A53" t="s">
        <v>270</v>
      </c>
      <c r="B53">
        <v>0</v>
      </c>
      <c r="F53" s="128"/>
    </row>
    <row r="54" spans="1:7">
      <c r="A54" t="s">
        <v>271</v>
      </c>
      <c r="B54">
        <f>B11</f>
        <v>0</v>
      </c>
      <c r="F54" s="128"/>
    </row>
    <row r="55" spans="1:7">
      <c r="A55" t="s">
        <v>266</v>
      </c>
      <c r="B55">
        <v>4</v>
      </c>
    </row>
    <row r="56" spans="1:7">
      <c r="A56" t="s">
        <v>267</v>
      </c>
      <c r="B56">
        <f>(B53*B54)/B55</f>
        <v>0</v>
      </c>
    </row>
    <row r="57" spans="1:7">
      <c r="A57" s="125" t="s">
        <v>268</v>
      </c>
      <c r="B57" s="125">
        <f>B56*B4</f>
        <v>0</v>
      </c>
      <c r="C57" s="125" t="s">
        <v>299</v>
      </c>
      <c r="D57" s="125">
        <f>75*B57</f>
        <v>0</v>
      </c>
      <c r="F57" s="374"/>
      <c r="G57" s="374"/>
    </row>
    <row r="58" spans="1:7">
      <c r="F58" s="129"/>
      <c r="G58" s="129"/>
    </row>
    <row r="59" spans="1:7">
      <c r="F59" s="130"/>
      <c r="G59" s="129"/>
    </row>
    <row r="60" spans="1:7">
      <c r="A60" s="375" t="s">
        <v>274</v>
      </c>
      <c r="B60" s="375"/>
      <c r="F60" s="129"/>
      <c r="G60" s="129"/>
    </row>
    <row r="61" spans="1:7">
      <c r="A61" t="s">
        <v>272</v>
      </c>
      <c r="B61">
        <v>0</v>
      </c>
      <c r="F61" s="129"/>
      <c r="G61" s="129"/>
    </row>
    <row r="62" spans="1:7">
      <c r="A62" t="s">
        <v>266</v>
      </c>
      <c r="B62">
        <v>4</v>
      </c>
      <c r="F62" s="129"/>
      <c r="G62" s="129"/>
    </row>
    <row r="63" spans="1:7">
      <c r="A63" t="s">
        <v>267</v>
      </c>
      <c r="B63">
        <f>B61/B62</f>
        <v>0</v>
      </c>
      <c r="F63" s="129"/>
      <c r="G63" s="129"/>
    </row>
    <row r="64" spans="1:7">
      <c r="A64" s="125" t="s">
        <v>275</v>
      </c>
      <c r="B64" s="125">
        <f>B63*B4*0</f>
        <v>0</v>
      </c>
      <c r="C64" s="125" t="s">
        <v>299</v>
      </c>
      <c r="D64" s="125">
        <f>75*B63</f>
        <v>0</v>
      </c>
      <c r="F64" s="129"/>
      <c r="G64" s="129"/>
    </row>
    <row r="66" spans="1:4">
      <c r="A66" s="375" t="s">
        <v>277</v>
      </c>
      <c r="B66" s="375"/>
    </row>
    <row r="67" spans="1:4">
      <c r="A67" t="s">
        <v>278</v>
      </c>
      <c r="B67">
        <v>10</v>
      </c>
    </row>
    <row r="68" spans="1:4">
      <c r="A68" t="s">
        <v>279</v>
      </c>
      <c r="B68">
        <v>12</v>
      </c>
    </row>
    <row r="69" spans="1:4">
      <c r="A69" s="125" t="s">
        <v>280</v>
      </c>
      <c r="B69" s="125">
        <f>B67*B68</f>
        <v>120</v>
      </c>
    </row>
    <row r="72" spans="1:4">
      <c r="A72" s="375" t="s">
        <v>294</v>
      </c>
      <c r="B72" s="375"/>
    </row>
    <row r="73" spans="1:4">
      <c r="A73" t="s">
        <v>270</v>
      </c>
      <c r="B73" s="131">
        <v>0</v>
      </c>
    </row>
    <row r="74" spans="1:4">
      <c r="A74" t="s">
        <v>271</v>
      </c>
      <c r="B74">
        <v>30</v>
      </c>
    </row>
    <row r="75" spans="1:4">
      <c r="A75" t="s">
        <v>266</v>
      </c>
      <c r="B75">
        <v>4</v>
      </c>
    </row>
    <row r="76" spans="1:4">
      <c r="A76" t="s">
        <v>267</v>
      </c>
      <c r="B76">
        <f>(B73*B74)/B75</f>
        <v>0</v>
      </c>
    </row>
    <row r="77" spans="1:4">
      <c r="A77" s="125" t="s">
        <v>268</v>
      </c>
      <c r="B77" s="125">
        <f>B76*B4*0</f>
        <v>0</v>
      </c>
      <c r="C77" s="125" t="s">
        <v>276</v>
      </c>
      <c r="D77" s="125">
        <f>50*B77</f>
        <v>0</v>
      </c>
    </row>
    <row r="78" spans="1:4">
      <c r="A78" s="6"/>
      <c r="B78" s="6"/>
      <c r="C78" s="6"/>
      <c r="D78" s="6"/>
    </row>
    <row r="79" spans="1:4">
      <c r="A79" s="381" t="s">
        <v>315</v>
      </c>
      <c r="B79" s="382"/>
      <c r="C79" s="382"/>
      <c r="D79" s="383"/>
    </row>
    <row r="80" spans="1:4">
      <c r="A80" s="6" t="s">
        <v>316</v>
      </c>
      <c r="B80" s="6">
        <f>D28</f>
        <v>240</v>
      </c>
      <c r="C80" t="s">
        <v>258</v>
      </c>
      <c r="D80" s="6">
        <f>D29</f>
        <v>18000</v>
      </c>
    </row>
    <row r="81" spans="1:4">
      <c r="A81" s="6" t="s">
        <v>317</v>
      </c>
      <c r="B81" s="6">
        <f>D31</f>
        <v>60</v>
      </c>
      <c r="C81" t="s">
        <v>258</v>
      </c>
      <c r="D81" s="6">
        <f>D32</f>
        <v>4500</v>
      </c>
    </row>
    <row r="82" spans="1:4">
      <c r="A82" s="6" t="s">
        <v>318</v>
      </c>
      <c r="B82" s="6">
        <f>D19</f>
        <v>200</v>
      </c>
      <c r="C82" t="s">
        <v>258</v>
      </c>
      <c r="D82" s="6">
        <f>D20</f>
        <v>6000</v>
      </c>
    </row>
    <row r="83" spans="1:4">
      <c r="A83" s="6" t="s">
        <v>319</v>
      </c>
      <c r="B83" s="6">
        <f>D22</f>
        <v>50</v>
      </c>
      <c r="C83" t="s">
        <v>258</v>
      </c>
      <c r="D83" s="6">
        <f>D23</f>
        <v>1500</v>
      </c>
    </row>
    <row r="84" spans="1:4">
      <c r="A84" s="6" t="s">
        <v>339</v>
      </c>
      <c r="B84" s="6">
        <f>B40/2</f>
        <v>62.5</v>
      </c>
      <c r="C84" t="s">
        <v>258</v>
      </c>
      <c r="D84" s="6">
        <f>D40/2</f>
        <v>625</v>
      </c>
    </row>
    <row r="85" spans="1:4">
      <c r="A85" s="6" t="s">
        <v>340</v>
      </c>
      <c r="B85" s="6">
        <f>B46/2</f>
        <v>150</v>
      </c>
      <c r="C85" t="s">
        <v>258</v>
      </c>
      <c r="D85" s="6">
        <f>D46/2</f>
        <v>1500</v>
      </c>
    </row>
    <row r="86" spans="1:4">
      <c r="A86" s="6" t="s">
        <v>341</v>
      </c>
      <c r="B86">
        <f>B40/2</f>
        <v>62.5</v>
      </c>
      <c r="C86" t="s">
        <v>258</v>
      </c>
      <c r="D86">
        <f>D40/2</f>
        <v>625</v>
      </c>
    </row>
    <row r="87" spans="1:4">
      <c r="A87" s="6" t="s">
        <v>342</v>
      </c>
      <c r="B87">
        <f>B46/2</f>
        <v>150</v>
      </c>
      <c r="C87" t="s">
        <v>258</v>
      </c>
      <c r="D87">
        <f>D46/2</f>
        <v>1500</v>
      </c>
    </row>
    <row r="88" spans="1:4">
      <c r="A88" s="6" t="s">
        <v>351</v>
      </c>
      <c r="B88">
        <f>B50</f>
        <v>600</v>
      </c>
      <c r="C88" t="s">
        <v>258</v>
      </c>
      <c r="D88">
        <f>D50</f>
        <v>6000</v>
      </c>
    </row>
    <row r="89" spans="1:4">
      <c r="A89" s="6"/>
    </row>
    <row r="92" spans="1:4">
      <c r="A92" s="380" t="s">
        <v>304</v>
      </c>
      <c r="B92" s="380"/>
      <c r="C92" s="380"/>
      <c r="D92" s="148"/>
    </row>
    <row r="93" spans="1:4">
      <c r="A93" s="149" t="s">
        <v>305</v>
      </c>
      <c r="B93" s="149" t="s">
        <v>306</v>
      </c>
      <c r="C93" s="149" t="s">
        <v>307</v>
      </c>
      <c r="D93" s="150" t="s">
        <v>308</v>
      </c>
    </row>
    <row r="94" spans="1:4">
      <c r="A94" t="s">
        <v>309</v>
      </c>
      <c r="B94">
        <v>400</v>
      </c>
      <c r="C94" t="s">
        <v>310</v>
      </c>
      <c r="D94">
        <f>B94*0.5+B94*0.5*1.1</f>
        <v>420</v>
      </c>
    </row>
    <row r="95" spans="1:4">
      <c r="A95" t="s">
        <v>311</v>
      </c>
      <c r="B95">
        <v>500</v>
      </c>
      <c r="C95" t="s">
        <v>310</v>
      </c>
      <c r="D95">
        <f>B95*0.5+B95*0.5*1.1</f>
        <v>525</v>
      </c>
    </row>
    <row r="96" spans="1:4">
      <c r="A96" t="s">
        <v>312</v>
      </c>
      <c r="B96">
        <v>625</v>
      </c>
      <c r="C96" t="s">
        <v>310</v>
      </c>
      <c r="D96">
        <f>B96*0.5+B96*0.5*1.1</f>
        <v>656.25</v>
      </c>
    </row>
    <row r="97" spans="1:4">
      <c r="A97" t="s">
        <v>313</v>
      </c>
      <c r="B97">
        <v>400</v>
      </c>
      <c r="C97" t="s">
        <v>310</v>
      </c>
      <c r="D97">
        <f>B97*0.5+B97*0.5*1.1</f>
        <v>420</v>
      </c>
    </row>
  </sheetData>
  <mergeCells count="19">
    <mergeCell ref="A92:C92"/>
    <mergeCell ref="A79:D79"/>
    <mergeCell ref="E1:I1"/>
    <mergeCell ref="A16:D16"/>
    <mergeCell ref="A17:B17"/>
    <mergeCell ref="F16:G16"/>
    <mergeCell ref="F26:G26"/>
    <mergeCell ref="F57:G57"/>
    <mergeCell ref="A2:B2"/>
    <mergeCell ref="A10:B10"/>
    <mergeCell ref="A72:B72"/>
    <mergeCell ref="A26:B26"/>
    <mergeCell ref="A35:B35"/>
    <mergeCell ref="A52:B52"/>
    <mergeCell ref="A42:D42"/>
    <mergeCell ref="F40:G40"/>
    <mergeCell ref="A60:B60"/>
    <mergeCell ref="A66:B66"/>
    <mergeCell ref="A48:B48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80" workbookViewId="0">
      <selection activeCell="A6" sqref="A6"/>
    </sheetView>
  </sheetViews>
  <sheetFormatPr defaultColWidth="8.7265625" defaultRowHeight="13.2"/>
  <cols>
    <col min="1" max="1" width="8.26953125" style="1" bestFit="1" customWidth="1"/>
    <col min="2" max="2" width="33" bestFit="1" customWidth="1"/>
  </cols>
  <sheetData>
    <row r="1" spans="1:3" s="5" customFormat="1" ht="16.2" thickBot="1">
      <c r="A1" s="88" t="s">
        <v>25</v>
      </c>
      <c r="B1" s="89" t="s">
        <v>26</v>
      </c>
      <c r="C1" s="90"/>
    </row>
    <row r="2" spans="1:3">
      <c r="A2" s="83">
        <v>0</v>
      </c>
      <c r="B2" s="82" t="s">
        <v>74</v>
      </c>
      <c r="C2" s="6"/>
    </row>
    <row r="3" spans="1:3">
      <c r="A3" s="103">
        <v>0</v>
      </c>
      <c r="B3" s="107" t="s">
        <v>166</v>
      </c>
      <c r="C3" s="6"/>
    </row>
    <row r="4" spans="1:3">
      <c r="A4" s="2">
        <v>0</v>
      </c>
      <c r="B4" s="4" t="s">
        <v>27</v>
      </c>
    </row>
    <row r="5" spans="1:3">
      <c r="A5" s="2">
        <v>0</v>
      </c>
      <c r="B5" s="4" t="s">
        <v>28</v>
      </c>
    </row>
    <row r="6" spans="1:3">
      <c r="A6" s="2"/>
      <c r="B6" s="4"/>
    </row>
    <row r="7" spans="1:3">
      <c r="A7" s="100" t="s">
        <v>38</v>
      </c>
      <c r="B7" s="101" t="s">
        <v>29</v>
      </c>
    </row>
    <row r="8" spans="1:3">
      <c r="B8" s="4" t="s">
        <v>41</v>
      </c>
    </row>
    <row r="9" spans="1:3">
      <c r="A9" s="1">
        <v>65</v>
      </c>
      <c r="B9" s="4" t="s">
        <v>287</v>
      </c>
    </row>
    <row r="10" spans="1:3">
      <c r="A10" s="1" t="s">
        <v>233</v>
      </c>
      <c r="B10" s="4" t="s">
        <v>230</v>
      </c>
    </row>
    <row r="11" spans="1:3">
      <c r="A11" s="100" t="s">
        <v>22</v>
      </c>
      <c r="B11" s="101" t="s">
        <v>29</v>
      </c>
    </row>
    <row r="12" spans="1:3">
      <c r="A12" s="8">
        <v>1.1000000000000001</v>
      </c>
      <c r="B12" s="4" t="s">
        <v>30</v>
      </c>
    </row>
    <row r="13" spans="1:3">
      <c r="A13" s="8">
        <f>usinflation_yr2*usinflation_yr2</f>
        <v>1.2100000000000002</v>
      </c>
      <c r="B13" s="4" t="s">
        <v>31</v>
      </c>
    </row>
    <row r="14" spans="1:3">
      <c r="A14" s="8">
        <f>usinflation_yr2*usinflation_yr2*usinflation_yr2</f>
        <v>1.3310000000000004</v>
      </c>
      <c r="B14" s="4" t="s">
        <v>32</v>
      </c>
    </row>
    <row r="15" spans="1:3">
      <c r="A15" s="8">
        <f>usinflation_yr2*usinflation_yr2*usinflation_yr2*usinflation_yr2</f>
        <v>1.4641000000000006</v>
      </c>
      <c r="B15" s="4" t="s">
        <v>33</v>
      </c>
    </row>
    <row r="16" spans="1:3">
      <c r="B16" s="4"/>
    </row>
    <row r="17" spans="1:2">
      <c r="A17" s="8">
        <v>1</v>
      </c>
      <c r="B17" s="4" t="s">
        <v>34</v>
      </c>
    </row>
    <row r="18" spans="1:2">
      <c r="A18" s="8">
        <f>localinflation_yr2*localinflation_yr2</f>
        <v>1</v>
      </c>
      <c r="B18" s="4" t="s">
        <v>35</v>
      </c>
    </row>
    <row r="19" spans="1:2">
      <c r="A19" s="8">
        <f>localinflation_yr2*localinflation_yr2*localinflation_yr2</f>
        <v>1</v>
      </c>
      <c r="B19" s="4" t="s">
        <v>36</v>
      </c>
    </row>
    <row r="20" spans="1:2">
      <c r="A20" s="8">
        <f>localinflation_yr2*localinflation_yr2*localinflation_yr2*localinflation_yr2</f>
        <v>1</v>
      </c>
      <c r="B20" s="4" t="s">
        <v>37</v>
      </c>
    </row>
    <row r="21" spans="1:2">
      <c r="A21" s="78"/>
      <c r="B21" s="6"/>
    </row>
    <row r="22" spans="1:2">
      <c r="A22" s="78"/>
      <c r="B22" s="6"/>
    </row>
    <row r="23" spans="1:2">
      <c r="A23" s="100"/>
      <c r="B23" s="102"/>
    </row>
  </sheetData>
  <phoneticPr fontId="10" type="noConversion"/>
  <pageMargins left="0.75" right="0.75" top="1" bottom="1" header="0.5" footer="0.5"/>
  <pageSetup orientation="portrait" r:id="rId1"/>
  <headerFooter alignWithMargins="0"/>
  <ignoredErrors>
    <ignoredError sqref="A13:A16 A18:A2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Proposal Approval Sheet</vt:lpstr>
      <vt:lpstr>Summary (USD)</vt:lpstr>
      <vt:lpstr>Donor Budget Format</vt:lpstr>
      <vt:lpstr>Detailed Budget</vt:lpstr>
      <vt:lpstr>Assumptions</vt:lpstr>
      <vt:lpstr>Range Page</vt:lpstr>
      <vt:lpstr>a</vt:lpstr>
      <vt:lpstr>as</vt:lpstr>
      <vt:lpstr>DollarLC</vt:lpstr>
      <vt:lpstr>GandA</vt:lpstr>
      <vt:lpstr>intlfringe</vt:lpstr>
      <vt:lpstr>LocalCurrency</vt:lpstr>
      <vt:lpstr>localfringe</vt:lpstr>
      <vt:lpstr>localinflation_yr2</vt:lpstr>
      <vt:lpstr>localinflation_yr3</vt:lpstr>
      <vt:lpstr>localinflation_yr4</vt:lpstr>
      <vt:lpstr>localinflation_yr5</vt:lpstr>
      <vt:lpstr>NewOH</vt:lpstr>
      <vt:lpstr>'Detailed Budget'!Print_Area</vt:lpstr>
      <vt:lpstr>'Range Page'!Print_Area</vt:lpstr>
      <vt:lpstr>'Detailed Budget'!Print_Titles</vt:lpstr>
      <vt:lpstr>usinflation_yr2</vt:lpstr>
      <vt:lpstr>usinflation_yr3</vt:lpstr>
      <vt:lpstr>usinflation_yr4</vt:lpstr>
      <vt:lpstr>usinflation_yr5</vt:lpstr>
    </vt:vector>
  </TitlesOfParts>
  <Company>PSI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</dc:creator>
  <cp:lastModifiedBy>Dingwell, Clare</cp:lastModifiedBy>
  <cp:lastPrinted>2010-03-05T02:55:47Z</cp:lastPrinted>
  <dcterms:created xsi:type="dcterms:W3CDTF">2000-02-29T20:08:59Z</dcterms:created>
  <dcterms:modified xsi:type="dcterms:W3CDTF">2017-02-22T15:48:28Z</dcterms:modified>
</cp:coreProperties>
</file>